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ireAppo\OneDrive - Tõrva Vallavalitsus\Documents\2023 eelarve\Eelarve menetlemine\2.lugemine\"/>
    </mc:Choice>
  </mc:AlternateContent>
  <xr:revisionPtr revIDLastSave="0" documentId="13_ncr:1_{28FF719F-43D5-4F02-A674-D3ECD17D9220}" xr6:coauthVersionLast="47" xr6:coauthVersionMax="47" xr10:uidLastSave="{00000000-0000-0000-0000-000000000000}"/>
  <bookViews>
    <workbookView xWindow="-108" yWindow="-108" windowWidth="30936" windowHeight="16896" xr2:uid="{56411AAB-A566-44DB-A0DE-683CB145D9AB}"/>
  </bookViews>
  <sheets>
    <sheet name="Tabel" sheetId="1" r:id="rId1"/>
    <sheet name="Esitatud ettepaneku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8" i="1" l="1"/>
  <c r="I127" i="1"/>
  <c r="I125" i="1" s="1"/>
  <c r="I116" i="1"/>
  <c r="I110" i="1"/>
  <c r="I108" i="1"/>
  <c r="I100" i="1"/>
  <c r="I98" i="1"/>
  <c r="I97" i="1"/>
  <c r="I93" i="1" s="1"/>
  <c r="I89" i="1"/>
  <c r="I86" i="1" s="1"/>
  <c r="I83" i="1"/>
  <c r="I76" i="1"/>
  <c r="I69" i="1" s="1"/>
  <c r="I65" i="1"/>
  <c r="I63" i="1"/>
  <c r="I60" i="1"/>
  <c r="I58" i="1"/>
  <c r="I49" i="1"/>
  <c r="I35" i="1"/>
  <c r="I30" i="1"/>
  <c r="I25" i="1"/>
  <c r="I19" i="1"/>
  <c r="I18" i="1"/>
  <c r="I15" i="1"/>
  <c r="I6" i="1" s="1"/>
  <c r="I7" i="1"/>
  <c r="G53" i="1"/>
  <c r="I107" i="1" l="1"/>
  <c r="I24" i="1"/>
  <c r="I34" i="1" s="1"/>
  <c r="I48" i="1" s="1"/>
  <c r="I54" i="1" s="1"/>
  <c r="I56" i="1"/>
  <c r="I55" i="1" s="1"/>
  <c r="G37" i="1"/>
  <c r="G27" i="1"/>
  <c r="G14" i="1" l="1"/>
  <c r="F28" i="1" l="1"/>
  <c r="F30" i="1"/>
  <c r="G39" i="1"/>
  <c r="E56" i="1"/>
  <c r="G152" i="1"/>
  <c r="G151" i="1"/>
  <c r="G150" i="1"/>
  <c r="G148" i="1"/>
  <c r="G146" i="1"/>
  <c r="G145" i="1"/>
  <c r="G143" i="1"/>
  <c r="G142" i="1"/>
  <c r="G141" i="1"/>
  <c r="G139" i="1"/>
  <c r="G135" i="1"/>
  <c r="G134" i="1"/>
  <c r="G133" i="1"/>
  <c r="G132" i="1"/>
  <c r="G131" i="1"/>
  <c r="G127" i="1"/>
  <c r="G126" i="1"/>
  <c r="G123" i="1"/>
  <c r="G122" i="1"/>
  <c r="G121" i="1"/>
  <c r="G116" i="1"/>
  <c r="G114" i="1"/>
  <c r="G112" i="1"/>
  <c r="G111" i="1"/>
  <c r="G110" i="1"/>
  <c r="G108" i="1"/>
  <c r="G106" i="1"/>
  <c r="G105" i="1"/>
  <c r="G98" i="1"/>
  <c r="G97" i="1"/>
  <c r="G96" i="1"/>
  <c r="G91" i="1"/>
  <c r="G88" i="1"/>
  <c r="G87" i="1"/>
  <c r="G84" i="1"/>
  <c r="G83" i="1"/>
  <c r="G82" i="1"/>
  <c r="G81" i="1"/>
  <c r="G76" i="1"/>
  <c r="G75" i="1"/>
  <c r="G74" i="1"/>
  <c r="G67" i="1"/>
  <c r="G66" i="1"/>
  <c r="G62" i="1"/>
  <c r="G61" i="1"/>
  <c r="G59" i="1"/>
  <c r="G58" i="1"/>
  <c r="G57" i="1"/>
  <c r="G51" i="1"/>
  <c r="G50" i="1"/>
  <c r="G47" i="1"/>
  <c r="G38" i="1"/>
  <c r="G36" i="1"/>
  <c r="G33" i="1"/>
  <c r="G28" i="1"/>
  <c r="G25" i="1" s="1"/>
  <c r="G23" i="1"/>
  <c r="G21" i="1"/>
  <c r="G16" i="1"/>
  <c r="G11" i="1"/>
  <c r="G9" i="1"/>
  <c r="G8" i="1"/>
  <c r="F138" i="1"/>
  <c r="F125" i="1"/>
  <c r="F107" i="1"/>
  <c r="F100" i="1"/>
  <c r="F93" i="1"/>
  <c r="F86" i="1"/>
  <c r="F69" i="1"/>
  <c r="F65" i="1"/>
  <c r="F63" i="1"/>
  <c r="F56" i="1"/>
  <c r="F49" i="1"/>
  <c r="F35" i="1"/>
  <c r="F25" i="1"/>
  <c r="F19" i="1"/>
  <c r="F15" i="1"/>
  <c r="F7" i="1"/>
  <c r="E138" i="1"/>
  <c r="E125" i="1"/>
  <c r="E107" i="1"/>
  <c r="E100" i="1"/>
  <c r="E93" i="1"/>
  <c r="E86" i="1"/>
  <c r="E69" i="1"/>
  <c r="E65" i="1"/>
  <c r="E63" i="1"/>
  <c r="E49" i="1"/>
  <c r="E35" i="1"/>
  <c r="E25" i="1"/>
  <c r="E19" i="1"/>
  <c r="E15" i="1"/>
  <c r="E7" i="1"/>
  <c r="D17" i="1"/>
  <c r="G17" i="1" s="1"/>
  <c r="D18" i="1"/>
  <c r="G18" i="1" s="1"/>
  <c r="D32" i="1"/>
  <c r="D31" i="1"/>
  <c r="G31" i="1" s="1"/>
  <c r="G35" i="1" l="1"/>
  <c r="G32" i="1"/>
  <c r="G30" i="1" s="1"/>
  <c r="G24" i="1" s="1"/>
  <c r="F24" i="1"/>
  <c r="E30" i="1"/>
  <c r="E24" i="1" s="1"/>
  <c r="E34" i="1" s="1"/>
  <c r="E48" i="1" s="1"/>
  <c r="E54" i="1" s="1"/>
  <c r="F55" i="1"/>
  <c r="E55" i="1"/>
  <c r="E6" i="1"/>
  <c r="F6" i="1"/>
  <c r="C49" i="1"/>
  <c r="D35" i="1"/>
  <c r="D30" i="1"/>
  <c r="G52" i="1"/>
  <c r="G49" i="1"/>
  <c r="G19" i="1"/>
  <c r="G63" i="1"/>
  <c r="D138" i="1"/>
  <c r="D125" i="1"/>
  <c r="D107" i="1"/>
  <c r="D100" i="1"/>
  <c r="D93" i="1"/>
  <c r="D86" i="1"/>
  <c r="D69" i="1"/>
  <c r="D65" i="1"/>
  <c r="D63" i="1"/>
  <c r="D56" i="1"/>
  <c r="D49" i="1"/>
  <c r="D25" i="1"/>
  <c r="D19" i="1"/>
  <c r="D15" i="1"/>
  <c r="D7" i="1"/>
  <c r="F34" i="1" l="1"/>
  <c r="F48" i="1" s="1"/>
  <c r="F54" i="1" s="1"/>
  <c r="G7" i="1"/>
  <c r="G6" i="1" s="1"/>
  <c r="G34" i="1" s="1"/>
  <c r="G48" i="1" s="1"/>
  <c r="G54" i="1" s="1"/>
  <c r="G65" i="1"/>
  <c r="G100" i="1"/>
  <c r="G15" i="1"/>
  <c r="G125" i="1"/>
  <c r="G69" i="1"/>
  <c r="D24" i="1"/>
  <c r="G138" i="1"/>
  <c r="D6" i="1"/>
  <c r="D55" i="1"/>
  <c r="H138" i="1"/>
  <c r="C138" i="1"/>
  <c r="H127" i="1"/>
  <c r="H126" i="1"/>
  <c r="C125" i="1"/>
  <c r="H114" i="1"/>
  <c r="H113" i="1"/>
  <c r="C113" i="1"/>
  <c r="G113" i="1" s="1"/>
  <c r="C109" i="1"/>
  <c r="H108" i="1"/>
  <c r="H100" i="1"/>
  <c r="C100" i="1"/>
  <c r="H97" i="1"/>
  <c r="H94" i="1"/>
  <c r="C94" i="1"/>
  <c r="C90" i="1"/>
  <c r="G90" i="1" s="1"/>
  <c r="H89" i="1"/>
  <c r="H86" i="1" s="1"/>
  <c r="C89" i="1"/>
  <c r="G89" i="1" s="1"/>
  <c r="H84" i="1"/>
  <c r="H83" i="1"/>
  <c r="H76" i="1"/>
  <c r="C69" i="1"/>
  <c r="H65" i="1"/>
  <c r="C65" i="1"/>
  <c r="H63" i="1"/>
  <c r="C63" i="1"/>
  <c r="H60" i="1"/>
  <c r="C60" i="1"/>
  <c r="H58" i="1"/>
  <c r="H49" i="1"/>
  <c r="H35" i="1"/>
  <c r="C35" i="1"/>
  <c r="H30" i="1"/>
  <c r="C30" i="1"/>
  <c r="H25" i="1"/>
  <c r="C25" i="1"/>
  <c r="H19" i="1"/>
  <c r="C19" i="1"/>
  <c r="H18" i="1"/>
  <c r="C15" i="1"/>
  <c r="H7" i="1"/>
  <c r="C7" i="1"/>
  <c r="G94" i="1" l="1"/>
  <c r="G93" i="1" s="1"/>
  <c r="G109" i="1"/>
  <c r="G107" i="1" s="1"/>
  <c r="G60" i="1"/>
  <c r="G56" i="1" s="1"/>
  <c r="G86" i="1"/>
  <c r="D34" i="1"/>
  <c r="D48" i="1" s="1"/>
  <c r="D54" i="1" s="1"/>
  <c r="C24" i="1"/>
  <c r="H69" i="1"/>
  <c r="C56" i="1"/>
  <c r="C93" i="1"/>
  <c r="H125" i="1"/>
  <c r="H15" i="1"/>
  <c r="H6" i="1" s="1"/>
  <c r="H24" i="1"/>
  <c r="H56" i="1"/>
  <c r="C86" i="1"/>
  <c r="H93" i="1"/>
  <c r="C107" i="1"/>
  <c r="H107" i="1"/>
  <c r="C6" i="1"/>
  <c r="G55" i="1" l="1"/>
  <c r="H55" i="1"/>
  <c r="C55" i="1"/>
  <c r="C34" i="1"/>
  <c r="C48" i="1" s="1"/>
  <c r="C54" i="1" s="1"/>
  <c r="H34" i="1"/>
  <c r="H48" i="1" s="1"/>
  <c r="H54" i="1" s="1"/>
</calcChain>
</file>

<file path=xl/sharedStrings.xml><?xml version="1.0" encoding="utf-8"?>
<sst xmlns="http://schemas.openxmlformats.org/spreadsheetml/2006/main" count="371" uniqueCount="327">
  <si>
    <t>TÕRVA VALD 2023.a eelarve eelnõu</t>
  </si>
  <si>
    <t xml:space="preserve">2022 eelarve </t>
  </si>
  <si>
    <t>PÕHITEGEVUSE TULUD KOKKU</t>
  </si>
  <si>
    <t>30</t>
  </si>
  <si>
    <t>Maksutulud</t>
  </si>
  <si>
    <t>3000</t>
  </si>
  <si>
    <t>Füüsilise isiku tulumaks</t>
  </si>
  <si>
    <t>3030</t>
  </si>
  <si>
    <t>Maamaks</t>
  </si>
  <si>
    <t>3034</t>
  </si>
  <si>
    <t>Loomapidamismaks</t>
  </si>
  <si>
    <t>3044</t>
  </si>
  <si>
    <t>Reklaamimaks</t>
  </si>
  <si>
    <t>3045</t>
  </si>
  <si>
    <t>Teede ja tänavate sulgemise maks</t>
  </si>
  <si>
    <t>3047</t>
  </si>
  <si>
    <t>Parkimistasu</t>
  </si>
  <si>
    <t>32</t>
  </si>
  <si>
    <t>Tulud kaupade ja teenuste müügist</t>
  </si>
  <si>
    <t>Saadavad toetused tegevuskuludeks</t>
  </si>
  <si>
    <t>35200</t>
  </si>
  <si>
    <t>Tasandusfond</t>
  </si>
  <si>
    <t>35201</t>
  </si>
  <si>
    <t xml:space="preserve">Toetusfond </t>
  </si>
  <si>
    <t>3500, 352</t>
  </si>
  <si>
    <t>Muud saadud toetused tegevuskuludeks</t>
  </si>
  <si>
    <t xml:space="preserve">Muud tegevustulud </t>
  </si>
  <si>
    <t>38250, 38251</t>
  </si>
  <si>
    <t>Kaevandamisõiguse tasu</t>
  </si>
  <si>
    <t>38252, 38254</t>
  </si>
  <si>
    <t>Laekumine vee erikasutusest</t>
  </si>
  <si>
    <t>3882</t>
  </si>
  <si>
    <t>Saastetasud ja keskkonnale tekitatud kahju hüvitis</t>
  </si>
  <si>
    <t>3880, 3888</t>
  </si>
  <si>
    <t>PÕHITEGEVUSE KULUD KOKKU</t>
  </si>
  <si>
    <t>Antud toetused tegevuskuludeks</t>
  </si>
  <si>
    <t>40</t>
  </si>
  <si>
    <t>Subsiidiumid ettevõtlusega tegelevatele isikutele</t>
  </si>
  <si>
    <t>413</t>
  </si>
  <si>
    <t>Sotsiaalabitoetused ja muud toetused füüsilistele isikutele</t>
  </si>
  <si>
    <t>45</t>
  </si>
  <si>
    <t>Sihtotstarbelised toetused tegevuskuludeks</t>
  </si>
  <si>
    <t>452</t>
  </si>
  <si>
    <t>Mittesihtotstarbelised toetused</t>
  </si>
  <si>
    <t>Muud tegevuskulud</t>
  </si>
  <si>
    <t>50</t>
  </si>
  <si>
    <t>Tööjõukulud</t>
  </si>
  <si>
    <t>55</t>
  </si>
  <si>
    <t>Majandamiskulud</t>
  </si>
  <si>
    <t>60</t>
  </si>
  <si>
    <t>Muud kulud</t>
  </si>
  <si>
    <t>PÕHITEGEVUSE TULEM</t>
  </si>
  <si>
    <t>INVESTEERIMISTEGEVUS KOKKU</t>
  </si>
  <si>
    <t>381</t>
  </si>
  <si>
    <t>Põhivara müük (+)</t>
  </si>
  <si>
    <t>15</t>
  </si>
  <si>
    <t>Põhivara soetus (-)</t>
  </si>
  <si>
    <t>3502</t>
  </si>
  <si>
    <t>Põhivara soetuseks saadav sihtfin (+)</t>
  </si>
  <si>
    <t>4502</t>
  </si>
  <si>
    <t>Põhivara soetuseks antav sihtfin (-)</t>
  </si>
  <si>
    <t>1502</t>
  </si>
  <si>
    <t>Osaluste müük (+)</t>
  </si>
  <si>
    <t>1501</t>
  </si>
  <si>
    <t>Osaluste soetus (-)</t>
  </si>
  <si>
    <t>1512</t>
  </si>
  <si>
    <t>Muude aktsiate ja osade müük (+)</t>
  </si>
  <si>
    <t>1511</t>
  </si>
  <si>
    <t>Muude aktsiate ja osade soetus (-)</t>
  </si>
  <si>
    <t>1532</t>
  </si>
  <si>
    <t>Tagasilaekuvad laenud (+)</t>
  </si>
  <si>
    <t>1531</t>
  </si>
  <si>
    <t>Antavad laenud (-)</t>
  </si>
  <si>
    <t>655</t>
  </si>
  <si>
    <t>Finantstulud (+)</t>
  </si>
  <si>
    <t>650</t>
  </si>
  <si>
    <t>Finantstkulud (-)</t>
  </si>
  <si>
    <t>EELARVE TULEM (ÜLEJÄÄK (+) / PUUDUJÄÄK (-))</t>
  </si>
  <si>
    <t>FINANTSEERIMISTEGEVUS</t>
  </si>
  <si>
    <t>2585</t>
  </si>
  <si>
    <t>Kohustuste võtmine (+)</t>
  </si>
  <si>
    <t>2586</t>
  </si>
  <si>
    <t>Kohustuste tasumine (-)</t>
  </si>
  <si>
    <t>100</t>
  </si>
  <si>
    <t>LIKVIIDSETE VARADE MUUTUS (+ suurenemine, - vähenemine)</t>
  </si>
  <si>
    <t>NÕUETE JA KOHUSTUSTE SALDODE MUUTUS (tekkepõhise e/a korral) (+/-)</t>
  </si>
  <si>
    <t>PÕHITEGEVUSE KULUDE JA INVESTEERIMISTEGEVUSE VÄLJAMINEKUTE JAOTUS TEGEVUSALADE JÄRGI</t>
  </si>
  <si>
    <t>01</t>
  </si>
  <si>
    <t>Üldised valitsussektori teenused</t>
  </si>
  <si>
    <t>01111</t>
  </si>
  <si>
    <t>Valla- ja linnavolikogu</t>
  </si>
  <si>
    <t>01112</t>
  </si>
  <si>
    <t>Valla- ja linnavalitsus</t>
  </si>
  <si>
    <t>01114</t>
  </si>
  <si>
    <t>Reservfond</t>
  </si>
  <si>
    <t>01600</t>
  </si>
  <si>
    <t xml:space="preserve">Muud üldised valitsussektori teenused  </t>
  </si>
  <si>
    <t>01700</t>
  </si>
  <si>
    <t>Valitsussektori võla teenindamine</t>
  </si>
  <si>
    <t>Ülalnimetamata üldised valitsussektori kulud kokku</t>
  </si>
  <si>
    <t>02</t>
  </si>
  <si>
    <t>Riigikaitse</t>
  </si>
  <si>
    <t>02300</t>
  </si>
  <si>
    <t>Kaitseotstarbeline väisabi</t>
  </si>
  <si>
    <t>03</t>
  </si>
  <si>
    <t>Avalik kord ja julgeolek</t>
  </si>
  <si>
    <t>03100</t>
  </si>
  <si>
    <t>Politsei</t>
  </si>
  <si>
    <t>03200</t>
  </si>
  <si>
    <t>Päästeteenused</t>
  </si>
  <si>
    <t>Muu avalik kord ja julgeolek kokku</t>
  </si>
  <si>
    <t>04</t>
  </si>
  <si>
    <t>Majandus</t>
  </si>
  <si>
    <t>04120</t>
  </si>
  <si>
    <t>Ettevõtluse arengu toetamine, stardiabi</t>
  </si>
  <si>
    <t>04210</t>
  </si>
  <si>
    <t>Põllumajandus</t>
  </si>
  <si>
    <t>04220</t>
  </si>
  <si>
    <t>Metsamajandus</t>
  </si>
  <si>
    <t>04230</t>
  </si>
  <si>
    <t>Kalandus ja jahindus</t>
  </si>
  <si>
    <t>04350</t>
  </si>
  <si>
    <t>Elektrienergia</t>
  </si>
  <si>
    <t>04360</t>
  </si>
  <si>
    <t>Muu energia- ja soojamajandus</t>
  </si>
  <si>
    <t>04510</t>
  </si>
  <si>
    <t>Maanteetransport (vallateede- ja tänavate korrashoid)</t>
  </si>
  <si>
    <t>04512</t>
  </si>
  <si>
    <t>Ühistranspordi korraldus</t>
  </si>
  <si>
    <t>04520</t>
  </si>
  <si>
    <t>Veetransport</t>
  </si>
  <si>
    <t>04540</t>
  </si>
  <si>
    <t>Õhutransport</t>
  </si>
  <si>
    <t>04600</t>
  </si>
  <si>
    <t>Side</t>
  </si>
  <si>
    <t>04710</t>
  </si>
  <si>
    <t>Kaubandus ja laondus</t>
  </si>
  <si>
    <t>04730</t>
  </si>
  <si>
    <t>Turism</t>
  </si>
  <si>
    <t>04740</t>
  </si>
  <si>
    <t>Üldmajanduslikud arendusprojektid</t>
  </si>
  <si>
    <t>04900</t>
  </si>
  <si>
    <t>Muu majandus (sh.majanduse haldamine)</t>
  </si>
  <si>
    <t>Ülalnimetamata majandus kokku</t>
  </si>
  <si>
    <t>05</t>
  </si>
  <si>
    <t>Keskkonnakaitse</t>
  </si>
  <si>
    <t>05100</t>
  </si>
  <si>
    <t>Jäätmekäitlus (prügivedu)</t>
  </si>
  <si>
    <t>05101</t>
  </si>
  <si>
    <t>Avalike alade puhastus</t>
  </si>
  <si>
    <t>05200</t>
  </si>
  <si>
    <t>Heitveekäitlus</t>
  </si>
  <si>
    <t>05300</t>
  </si>
  <si>
    <t>Saaste vähendamine</t>
  </si>
  <si>
    <t>05400</t>
  </si>
  <si>
    <t>Bioloogilise mitmekesisuse ja maastiku kaitse, haljastus</t>
  </si>
  <si>
    <t>Ülalnimetamata keskkonnakaitse kulud kokku</t>
  </si>
  <si>
    <t>06</t>
  </si>
  <si>
    <t>Elamu- ja kommunaalmajandus</t>
  </si>
  <si>
    <t>06100</t>
  </si>
  <si>
    <t>Elamumajanduse arendamine</t>
  </si>
  <si>
    <t>06200</t>
  </si>
  <si>
    <t>Kommunaalmajanduse arendamine</t>
  </si>
  <si>
    <t>06300</t>
  </si>
  <si>
    <t>Veevarustus</t>
  </si>
  <si>
    <t>06400</t>
  </si>
  <si>
    <t>Tänavavalgustus</t>
  </si>
  <si>
    <t>06605</t>
  </si>
  <si>
    <t>Muu elamu- ja kommunaalmajanduse tegevus</t>
  </si>
  <si>
    <t>Ülalnimetamata elamu-ja kommunaalmajanduse kulud kokku</t>
  </si>
  <si>
    <t>07</t>
  </si>
  <si>
    <t>Tervishoid</t>
  </si>
  <si>
    <t>07110</t>
  </si>
  <si>
    <t>Farmaatsiatooted - apteegid</t>
  </si>
  <si>
    <t>07200</t>
  </si>
  <si>
    <t>Ambulatoorsed teenused  (kiirabi)</t>
  </si>
  <si>
    <t>07300</t>
  </si>
  <si>
    <t>Haiglateenused</t>
  </si>
  <si>
    <t>07400</t>
  </si>
  <si>
    <t>Avalikud tervishoiuteenused</t>
  </si>
  <si>
    <t>07600</t>
  </si>
  <si>
    <t>Muu tervishoid, sh. tervishoiu haldamine</t>
  </si>
  <si>
    <t>Ülalnimetamata tervishoiukulud  kokku</t>
  </si>
  <si>
    <t>08</t>
  </si>
  <si>
    <t>Vaba aeg, kultuur ja religioon</t>
  </si>
  <si>
    <t>08102</t>
  </si>
  <si>
    <t>Sport</t>
  </si>
  <si>
    <t>08103</t>
  </si>
  <si>
    <t>Puhkepargid ja -baasid</t>
  </si>
  <si>
    <t>08107</t>
  </si>
  <si>
    <t>Noorsootöö ja noortekeskused</t>
  </si>
  <si>
    <t>08109</t>
  </si>
  <si>
    <t>Vaba aja üritused</t>
  </si>
  <si>
    <t>08201</t>
  </si>
  <si>
    <t>Raamatukogud</t>
  </si>
  <si>
    <t>08202</t>
  </si>
  <si>
    <t>Rahvakultuur</t>
  </si>
  <si>
    <t>08203</t>
  </si>
  <si>
    <t>Muuseumid</t>
  </si>
  <si>
    <t>08234</t>
  </si>
  <si>
    <t>Teatrid</t>
  </si>
  <si>
    <t>08235</t>
  </si>
  <si>
    <t>Audiovisuaal, sh kinod</t>
  </si>
  <si>
    <t>08236</t>
  </si>
  <si>
    <t>Muusika (kontsertorganisatsioonid)</t>
  </si>
  <si>
    <t>08207</t>
  </si>
  <si>
    <t>Muinsuskaitse</t>
  </si>
  <si>
    <t>08210</t>
  </si>
  <si>
    <t>Loomaaed</t>
  </si>
  <si>
    <t>08211</t>
  </si>
  <si>
    <t>Botaanikaaed</t>
  </si>
  <si>
    <t>08300</t>
  </si>
  <si>
    <t>Ringhäälingu- ja kirjastamisteenused</t>
  </si>
  <si>
    <t>08400</t>
  </si>
  <si>
    <t>Religiooni- ja muud ühiskonnateenused</t>
  </si>
  <si>
    <t>08600</t>
  </si>
  <si>
    <t>Muu vaba aeg, kultuur, religioon, sh. haldus</t>
  </si>
  <si>
    <t>09</t>
  </si>
  <si>
    <t>Haridus</t>
  </si>
  <si>
    <t>09110</t>
  </si>
  <si>
    <t>Alusharidus (lasteaiad)</t>
  </si>
  <si>
    <t>09210-09221</t>
  </si>
  <si>
    <t>Üldhariduskoolid, sh LAK</t>
  </si>
  <si>
    <t>09222, 09223</t>
  </si>
  <si>
    <t>Kutseõppeasutused</t>
  </si>
  <si>
    <t>09400</t>
  </si>
  <si>
    <t>Kolmanda taseme haridus - kõrgkoolid</t>
  </si>
  <si>
    <t>09500</t>
  </si>
  <si>
    <t xml:space="preserve">Taseme alusel mittemääratletav haridus </t>
  </si>
  <si>
    <t>09510</t>
  </si>
  <si>
    <t>Noorte huviharidus ja huvitegevus</t>
  </si>
  <si>
    <t>09600</t>
  </si>
  <si>
    <t>Koolitransport</t>
  </si>
  <si>
    <t>09601</t>
  </si>
  <si>
    <t>Koolitoit</t>
  </si>
  <si>
    <t>09602</t>
  </si>
  <si>
    <t>Öömaja</t>
  </si>
  <si>
    <t>09609</t>
  </si>
  <si>
    <t>Muud hariduse abiteenused</t>
  </si>
  <si>
    <t>09800</t>
  </si>
  <si>
    <t>Muu haridus, sh. hariduse haldus</t>
  </si>
  <si>
    <t>Ülalnimetamata hariduse kulud kokku</t>
  </si>
  <si>
    <t>10</t>
  </si>
  <si>
    <t>Sotsiaalne kaitse</t>
  </si>
  <si>
    <t>10110</t>
  </si>
  <si>
    <t>Haigete sotsiaalne kaitse</t>
  </si>
  <si>
    <t>10120</t>
  </si>
  <si>
    <t>Puuetega inimeste sotsiaalhoolekande asutused</t>
  </si>
  <si>
    <t>10121</t>
  </si>
  <si>
    <t>Muu puuetega inimeste sotsiaalne kaitse</t>
  </si>
  <si>
    <t>10200</t>
  </si>
  <si>
    <t>Eakate sotsiaalhoolekande asutused</t>
  </si>
  <si>
    <t>10201</t>
  </si>
  <si>
    <t>Muu eakate sotsiaalne kaitse</t>
  </si>
  <si>
    <t>10300</t>
  </si>
  <si>
    <t>Toitjakaotanute sotsiaalne kaitse</t>
  </si>
  <si>
    <t>10400</t>
  </si>
  <si>
    <t>Laste ja noorte sotsiaalhoolekande asutused</t>
  </si>
  <si>
    <t>10402</t>
  </si>
  <si>
    <t>Muu perekondade ja laste sotsiaalne kaitse</t>
  </si>
  <si>
    <t>10500</t>
  </si>
  <si>
    <t>Töötute sotsiaalne kaitse</t>
  </si>
  <si>
    <t>10600</t>
  </si>
  <si>
    <t>Eluasemeteenused sotsiaalsetele riskirühmadele</t>
  </si>
  <si>
    <t>10700</t>
  </si>
  <si>
    <t>Riskirühmade sotsiaalhoolekande asutused</t>
  </si>
  <si>
    <t>10701</t>
  </si>
  <si>
    <t>Riiklik toimetulekutoetus</t>
  </si>
  <si>
    <t>10702</t>
  </si>
  <si>
    <t>Muu sotsiaalsete riskirühmade kaitse</t>
  </si>
  <si>
    <t>10900</t>
  </si>
  <si>
    <t>Muu sotsiaalne kaitse, sh. sotsiaalse kaitse haldus</t>
  </si>
  <si>
    <t>Ülalnimetamata sotsiaalse kaitse kulud kokku</t>
  </si>
  <si>
    <t>2023 eelarve eelnõu I</t>
  </si>
  <si>
    <t>2023 eelarve eelnõu II lugemine</t>
  </si>
  <si>
    <t>muutus (vv)</t>
  </si>
  <si>
    <t>muutus (EKRE)</t>
  </si>
  <si>
    <t>muutus (Ühtne Kogukond)</t>
  </si>
  <si>
    <t>EKRE fraktsiooni ettepanekud</t>
  </si>
  <si>
    <t>Tegevusala</t>
  </si>
  <si>
    <t>Vallavolikogu</t>
  </si>
  <si>
    <t>TA nr</t>
  </si>
  <si>
    <t>personalikulu</t>
  </si>
  <si>
    <t>Vallavalitsus</t>
  </si>
  <si>
    <t>majandamiskulu</t>
  </si>
  <si>
    <t>Muud üldised valitsemissektori teenused</t>
  </si>
  <si>
    <t>Investeerimise kulu</t>
  </si>
  <si>
    <t>Üldmajandus</t>
  </si>
  <si>
    <t>Märkused</t>
  </si>
  <si>
    <t>Bioloogiline mitmekesisus</t>
  </si>
  <si>
    <t>majandamiskulu - antav toetus põhitegev.</t>
  </si>
  <si>
    <t>Investeerimise kulu - antav toetus inv.</t>
  </si>
  <si>
    <t>2023.a. eelarve eelnõus on sellel tegevusalal Ala õpilaskodu kulud.</t>
  </si>
  <si>
    <t>Frakstioon Uhtne Kogukond ettepanekud</t>
  </si>
  <si>
    <t>Majandamiskulu</t>
  </si>
  <si>
    <t xml:space="preserve">Rannaalade värskendamine ja turvakaamerad. </t>
  </si>
  <si>
    <t>Kirik-Kammersaal</t>
  </si>
  <si>
    <t>VV poolt on eelarve vähendamine tehtud</t>
  </si>
  <si>
    <t>Ettepanek tagasi võetud</t>
  </si>
  <si>
    <t>Ettepanek</t>
  </si>
  <si>
    <t>Volikogus hääletamine</t>
  </si>
  <si>
    <t>Kulu liik</t>
  </si>
  <si>
    <t>Kulu nimetus</t>
  </si>
  <si>
    <t>Otsustati komisjoni istungil</t>
  </si>
  <si>
    <t>Mulgi Elamuskeskusele antav inv.toetus</t>
  </si>
  <si>
    <t>Mulgi Elamuskeskusele antav tegevustoetus</t>
  </si>
  <si>
    <t>Vastav kulu kaetakse reservfondi vahenditest</t>
  </si>
  <si>
    <t xml:space="preserve">Vähendada Mulgi Elamuskeskusele antavat toetust 20 tuh </t>
  </si>
  <si>
    <t>Vajaduspõhine eraldus reservfondi gümnaasiumi õpilaskodu majandamiskuludeks.</t>
  </si>
  <si>
    <t>Selgitus</t>
  </si>
  <si>
    <t>Vanamõisa hüppetorni ehitusprojekt</t>
  </si>
  <si>
    <t>Eelarve eelnõus jääb projektide kaasfin.alla 40 tuh eurot</t>
  </si>
  <si>
    <t>Vanamõisa hüppetorni projekt. See muudatus oli v.valitsuse poolt juba tehtud.</t>
  </si>
  <si>
    <t>10 tuh jääb investeeringute alla eraldi reana turvakaamerate paigaldamiseks</t>
  </si>
  <si>
    <t>Ettepaneku sisu</t>
  </si>
  <si>
    <t>Kaasava  eelarve investeeringuteks</t>
  </si>
  <si>
    <t>Vähendada vaba aja ürituste eelarvet</t>
  </si>
  <si>
    <t>Suunata juurde Kirk-Kammersaali eelarvesse</t>
  </si>
  <si>
    <t>Tõrva Gümnaasiumi õpilaskodu kuludeks</t>
  </si>
  <si>
    <t>Vähendada haljasalade niitmisteenuste kulu</t>
  </si>
  <si>
    <t>Vähendada vv majandamiskulusid</t>
  </si>
  <si>
    <t>Seos punkt 5ga</t>
  </si>
  <si>
    <t>Vähendada investeeringuid kululiigil muud projektide kaasfin.</t>
  </si>
  <si>
    <t>Valvekaamerate paigaldus jääb investeeringute reale</t>
  </si>
  <si>
    <t>Uued riietuskabiinid randadesse võiks olla kaasava eelarve projekt</t>
  </si>
  <si>
    <t>Volikogu aseesimeestele hüvitist mitte maksta ja volikogu liikmete personalikulude vähendamine</t>
  </si>
  <si>
    <t xml:space="preserve">2021 tegelik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</si>
</sst>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name val="Times New Roman"/>
      <family val="1"/>
      <charset val="186"/>
    </font>
    <font>
      <sz val="11"/>
      <name val="Arial"/>
      <family val="1"/>
    </font>
    <font>
      <sz val="10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9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8"/>
      <color indexed="8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0"/>
      <color indexed="8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7" fillId="0" borderId="0"/>
  </cellStyleXfs>
  <cellXfs count="120">
    <xf numFmtId="0" fontId="0" fillId="0" borderId="0" xfId="0"/>
    <xf numFmtId="0" fontId="3" fillId="0" borderId="0" xfId="1" applyFont="1" applyAlignment="1">
      <alignment horizontal="left"/>
    </xf>
    <xf numFmtId="49" fontId="4" fillId="0" borderId="0" xfId="0" applyNumberFormat="1" applyFont="1"/>
    <xf numFmtId="49" fontId="5" fillId="0" borderId="0" xfId="0" applyNumberFormat="1" applyFont="1"/>
    <xf numFmtId="2" fontId="4" fillId="0" borderId="0" xfId="0" applyNumberFormat="1" applyFont="1" applyAlignment="1">
      <alignment horizontal="right"/>
    </xf>
    <xf numFmtId="49" fontId="4" fillId="0" borderId="1" xfId="0" applyNumberFormat="1" applyFont="1" applyBorder="1" applyAlignment="1">
      <alignment horizontal="left" wrapText="1"/>
    </xf>
    <xf numFmtId="49" fontId="5" fillId="0" borderId="4" xfId="0" applyNumberFormat="1" applyFont="1" applyBorder="1" applyAlignment="1">
      <alignment horizontal="left" wrapText="1"/>
    </xf>
    <xf numFmtId="49" fontId="5" fillId="0" borderId="5" xfId="0" applyNumberFormat="1" applyFont="1" applyBorder="1" applyAlignment="1">
      <alignment horizontal="left" wrapText="1"/>
    </xf>
    <xf numFmtId="4" fontId="3" fillId="0" borderId="5" xfId="3" applyNumberFormat="1" applyFont="1" applyBorder="1"/>
    <xf numFmtId="4" fontId="5" fillId="0" borderId="5" xfId="2" applyNumberFormat="1" applyFont="1" applyBorder="1" applyProtection="1">
      <protection locked="0"/>
    </xf>
    <xf numFmtId="49" fontId="5" fillId="0" borderId="6" xfId="0" applyNumberFormat="1" applyFont="1" applyBorder="1" applyAlignment="1">
      <alignment horizontal="left" wrapText="1"/>
    </xf>
    <xf numFmtId="4" fontId="5" fillId="0" borderId="7" xfId="2" applyNumberFormat="1" applyFont="1" applyBorder="1" applyProtection="1">
      <protection locked="0"/>
    </xf>
    <xf numFmtId="49" fontId="4" fillId="0" borderId="1" xfId="0" applyNumberFormat="1" applyFont="1" applyBorder="1" applyAlignment="1">
      <alignment horizontal="left"/>
    </xf>
    <xf numFmtId="4" fontId="5" fillId="0" borderId="4" xfId="2" applyNumberFormat="1" applyFont="1" applyBorder="1" applyProtection="1">
      <protection locked="0"/>
    </xf>
    <xf numFmtId="49" fontId="8" fillId="0" borderId="6" xfId="0" applyNumberFormat="1" applyFont="1" applyBorder="1" applyAlignment="1">
      <alignment horizontal="right"/>
    </xf>
    <xf numFmtId="49" fontId="5" fillId="0" borderId="6" xfId="0" applyNumberFormat="1" applyFont="1" applyBorder="1" applyAlignment="1">
      <alignment horizontal="left"/>
    </xf>
    <xf numFmtId="4" fontId="5" fillId="0" borderId="6" xfId="2" applyNumberFormat="1" applyFont="1" applyBorder="1" applyProtection="1">
      <protection locked="0"/>
    </xf>
    <xf numFmtId="4" fontId="6" fillId="0" borderId="1" xfId="2" applyNumberFormat="1" applyFont="1" applyBorder="1"/>
    <xf numFmtId="49" fontId="5" fillId="0" borderId="5" xfId="0" applyNumberFormat="1" applyFont="1" applyBorder="1" applyAlignment="1">
      <alignment horizontal="left"/>
    </xf>
    <xf numFmtId="49" fontId="9" fillId="0" borderId="5" xfId="0" applyNumberFormat="1" applyFont="1" applyBorder="1" applyAlignment="1">
      <alignment horizontal="left" wrapText="1"/>
    </xf>
    <xf numFmtId="4" fontId="4" fillId="0" borderId="1" xfId="2" applyNumberFormat="1" applyFont="1" applyBorder="1"/>
    <xf numFmtId="4" fontId="3" fillId="0" borderId="4" xfId="3" applyNumberFormat="1" applyFont="1" applyBorder="1"/>
    <xf numFmtId="4" fontId="3" fillId="0" borderId="6" xfId="3" applyNumberFormat="1" applyFont="1" applyBorder="1"/>
    <xf numFmtId="49" fontId="6" fillId="0" borderId="1" xfId="0" applyNumberFormat="1" applyFont="1" applyBorder="1" applyAlignment="1">
      <alignment horizontal="left" wrapText="1"/>
    </xf>
    <xf numFmtId="4" fontId="6" fillId="0" borderId="1" xfId="1" applyNumberFormat="1" applyFont="1" applyBorder="1"/>
    <xf numFmtId="4" fontId="11" fillId="0" borderId="5" xfId="1" applyNumberFormat="1" applyFont="1" applyBorder="1"/>
    <xf numFmtId="4" fontId="11" fillId="0" borderId="5" xfId="2" applyNumberFormat="1" applyFont="1" applyBorder="1" applyProtection="1">
      <protection locked="0"/>
    </xf>
    <xf numFmtId="49" fontId="13" fillId="0" borderId="1" xfId="0" applyNumberFormat="1" applyFont="1" applyBorder="1" applyAlignment="1">
      <alignment horizontal="left" wrapText="1"/>
    </xf>
    <xf numFmtId="4" fontId="11" fillId="0" borderId="4" xfId="1" applyNumberFormat="1" applyFont="1" applyBorder="1" applyProtection="1">
      <protection locked="0"/>
    </xf>
    <xf numFmtId="4" fontId="11" fillId="3" borderId="1" xfId="1" applyNumberFormat="1" applyFont="1" applyFill="1" applyBorder="1"/>
    <xf numFmtId="49" fontId="11" fillId="0" borderId="5" xfId="0" applyNumberFormat="1" applyFont="1" applyBorder="1" applyAlignment="1">
      <alignment horizontal="left" wrapText="1"/>
    </xf>
    <xf numFmtId="49" fontId="4" fillId="0" borderId="3" xfId="0" applyNumberFormat="1" applyFont="1" applyBorder="1" applyAlignment="1">
      <alignment horizontal="left" wrapText="1"/>
    </xf>
    <xf numFmtId="4" fontId="11" fillId="0" borderId="5" xfId="1" applyNumberFormat="1" applyFont="1" applyBorder="1" applyProtection="1">
      <protection locked="0"/>
    </xf>
    <xf numFmtId="49" fontId="5" fillId="0" borderId="7" xfId="0" applyNumberFormat="1" applyFont="1" applyBorder="1" applyAlignment="1">
      <alignment horizontal="left" wrapText="1"/>
    </xf>
    <xf numFmtId="0" fontId="1" fillId="0" borderId="0" xfId="0" applyFont="1"/>
    <xf numFmtId="0" fontId="16" fillId="0" borderId="0" xfId="0" applyFont="1"/>
    <xf numFmtId="49" fontId="4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wrapText="1"/>
    </xf>
    <xf numFmtId="49" fontId="5" fillId="0" borderId="3" xfId="0" applyNumberFormat="1" applyFont="1" applyBorder="1" applyAlignment="1">
      <alignment horizontal="left" wrapText="1"/>
    </xf>
    <xf numFmtId="4" fontId="11" fillId="0" borderId="4" xfId="2" applyNumberFormat="1" applyFont="1" applyBorder="1" applyProtection="1">
      <protection locked="0"/>
    </xf>
    <xf numFmtId="4" fontId="11" fillId="0" borderId="1" xfId="1" applyNumberFormat="1" applyFont="1" applyBorder="1" applyProtection="1">
      <protection locked="0"/>
    </xf>
    <xf numFmtId="4" fontId="11" fillId="0" borderId="4" xfId="1" applyNumberFormat="1" applyFont="1" applyBorder="1"/>
    <xf numFmtId="4" fontId="6" fillId="0" borderId="1" xfId="2" applyNumberFormat="1" applyFont="1" applyBorder="1" applyProtection="1">
      <protection locked="0"/>
    </xf>
    <xf numFmtId="4" fontId="6" fillId="0" borderId="1" xfId="3" applyNumberFormat="1" applyFont="1" applyBorder="1"/>
    <xf numFmtId="4" fontId="11" fillId="0" borderId="6" xfId="1" applyNumberFormat="1" applyFont="1" applyBorder="1" applyProtection="1">
      <protection locked="0"/>
    </xf>
    <xf numFmtId="4" fontId="11" fillId="0" borderId="3" xfId="2" applyNumberFormat="1" applyFont="1" applyBorder="1" applyProtection="1">
      <protection locked="0"/>
    </xf>
    <xf numFmtId="49" fontId="10" fillId="0" borderId="4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/>
    </xf>
    <xf numFmtId="49" fontId="10" fillId="0" borderId="5" xfId="0" applyNumberFormat="1" applyFont="1" applyBorder="1" applyAlignment="1">
      <alignment horizontal="left" wrapText="1"/>
    </xf>
    <xf numFmtId="49" fontId="10" fillId="0" borderId="6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9" fontId="12" fillId="0" borderId="3" xfId="0" applyNumberFormat="1" applyFont="1" applyBorder="1" applyAlignment="1">
      <alignment horizontal="left" wrapText="1"/>
    </xf>
    <xf numFmtId="49" fontId="12" fillId="0" borderId="1" xfId="0" applyNumberFormat="1" applyFont="1" applyBorder="1" applyAlignment="1">
      <alignment horizontal="left" wrapText="1"/>
    </xf>
    <xf numFmtId="49" fontId="14" fillId="0" borderId="1" xfId="0" applyNumberFormat="1" applyFont="1" applyBorder="1" applyAlignment="1">
      <alignment horizontal="right" wrapText="1"/>
    </xf>
    <xf numFmtId="49" fontId="11" fillId="0" borderId="5" xfId="0" applyNumberFormat="1" applyFont="1" applyBorder="1" applyAlignment="1">
      <alignment horizontal="left"/>
    </xf>
    <xf numFmtId="49" fontId="9" fillId="0" borderId="6" xfId="0" applyNumberFormat="1" applyFont="1" applyBorder="1" applyAlignment="1">
      <alignment horizontal="left"/>
    </xf>
    <xf numFmtId="49" fontId="10" fillId="0" borderId="4" xfId="0" applyNumberFormat="1" applyFont="1" applyBorder="1" applyAlignment="1">
      <alignment horizontal="left"/>
    </xf>
    <xf numFmtId="49" fontId="10" fillId="0" borderId="6" xfId="0" applyNumberFormat="1" applyFont="1" applyBorder="1" applyAlignment="1">
      <alignment horizontal="left"/>
    </xf>
    <xf numFmtId="49" fontId="8" fillId="0" borderId="4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 wrapText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0" fontId="15" fillId="0" borderId="4" xfId="2" applyFont="1" applyBorder="1" applyAlignment="1">
      <alignment horizontal="left"/>
    </xf>
    <xf numFmtId="49" fontId="12" fillId="0" borderId="5" xfId="0" applyNumberFormat="1" applyFont="1" applyBorder="1" applyAlignment="1">
      <alignment horizontal="left"/>
    </xf>
    <xf numFmtId="49" fontId="10" fillId="0" borderId="7" xfId="0" applyNumberFormat="1" applyFont="1" applyBorder="1" applyAlignment="1">
      <alignment horizontal="left"/>
    </xf>
    <xf numFmtId="49" fontId="11" fillId="0" borderId="4" xfId="0" applyNumberFormat="1" applyFont="1" applyBorder="1" applyAlignment="1">
      <alignment horizontal="left" wrapText="1"/>
    </xf>
    <xf numFmtId="49" fontId="10" fillId="0" borderId="5" xfId="0" applyNumberFormat="1" applyFont="1" applyBorder="1" applyAlignment="1">
      <alignment horizontal="left" wrapText="1" indent="1"/>
    </xf>
    <xf numFmtId="0" fontId="17" fillId="0" borderId="0" xfId="0" applyFont="1"/>
    <xf numFmtId="49" fontId="17" fillId="0" borderId="0" xfId="0" applyNumberFormat="1" applyFont="1"/>
    <xf numFmtId="4" fontId="17" fillId="0" borderId="0" xfId="0" applyNumberFormat="1" applyFont="1"/>
    <xf numFmtId="0" fontId="18" fillId="0" borderId="0" xfId="0" applyFont="1"/>
    <xf numFmtId="0" fontId="18" fillId="0" borderId="9" xfId="0" applyFont="1" applyBorder="1"/>
    <xf numFmtId="49" fontId="17" fillId="0" borderId="9" xfId="0" applyNumberFormat="1" applyFont="1" applyBorder="1"/>
    <xf numFmtId="0" fontId="17" fillId="0" borderId="9" xfId="0" applyFont="1" applyBorder="1"/>
    <xf numFmtId="0" fontId="17" fillId="0" borderId="9" xfId="0" applyFont="1" applyBorder="1" applyAlignment="1">
      <alignment wrapText="1"/>
    </xf>
    <xf numFmtId="0" fontId="18" fillId="0" borderId="9" xfId="0" applyFont="1" applyBorder="1" applyAlignment="1">
      <alignment wrapText="1"/>
    </xf>
    <xf numFmtId="0" fontId="11" fillId="0" borderId="9" xfId="0" applyFont="1" applyBorder="1" applyAlignment="1">
      <alignment wrapText="1"/>
    </xf>
    <xf numFmtId="0" fontId="6" fillId="0" borderId="9" xfId="0" applyFont="1" applyBorder="1"/>
    <xf numFmtId="0" fontId="17" fillId="0" borderId="0" xfId="0" applyFont="1" applyAlignment="1">
      <alignment horizontal="center"/>
    </xf>
    <xf numFmtId="0" fontId="17" fillId="0" borderId="9" xfId="0" applyFont="1" applyBorder="1" applyAlignment="1">
      <alignment horizontal="center"/>
    </xf>
    <xf numFmtId="3" fontId="17" fillId="0" borderId="9" xfId="0" applyNumberFormat="1" applyFont="1" applyBorder="1"/>
    <xf numFmtId="3" fontId="11" fillId="0" borderId="9" xfId="0" applyNumberFormat="1" applyFont="1" applyBorder="1"/>
    <xf numFmtId="0" fontId="17" fillId="0" borderId="0" xfId="0" applyFont="1" applyAlignment="1">
      <alignment wrapText="1"/>
    </xf>
    <xf numFmtId="3" fontId="17" fillId="0" borderId="0" xfId="0" applyNumberFormat="1" applyFont="1"/>
    <xf numFmtId="3" fontId="4" fillId="0" borderId="1" xfId="2" applyNumberFormat="1" applyFont="1" applyBorder="1"/>
    <xf numFmtId="3" fontId="3" fillId="0" borderId="4" xfId="3" applyNumberFormat="1" applyFont="1" applyBorder="1"/>
    <xf numFmtId="3" fontId="3" fillId="0" borderId="5" xfId="3" applyNumberFormat="1" applyFont="1" applyBorder="1"/>
    <xf numFmtId="3" fontId="5" fillId="0" borderId="5" xfId="2" applyNumberFormat="1" applyFont="1" applyBorder="1" applyProtection="1">
      <protection locked="0"/>
    </xf>
    <xf numFmtId="3" fontId="5" fillId="0" borderId="6" xfId="2" applyNumberFormat="1" applyFont="1" applyBorder="1" applyProtection="1">
      <protection locked="0"/>
    </xf>
    <xf numFmtId="3" fontId="6" fillId="0" borderId="1" xfId="3" applyNumberFormat="1" applyFont="1" applyBorder="1"/>
    <xf numFmtId="3" fontId="11" fillId="0" borderId="4" xfId="2" applyNumberFormat="1" applyFont="1" applyBorder="1" applyProtection="1">
      <protection locked="0"/>
    </xf>
    <xf numFmtId="3" fontId="11" fillId="0" borderId="5" xfId="2" applyNumberFormat="1" applyFont="1" applyBorder="1" applyProtection="1">
      <protection locked="0"/>
    </xf>
    <xf numFmtId="3" fontId="6" fillId="0" borderId="1" xfId="2" applyNumberFormat="1" applyFont="1" applyBorder="1"/>
    <xf numFmtId="3" fontId="5" fillId="0" borderId="4" xfId="2" applyNumberFormat="1" applyFont="1" applyBorder="1" applyProtection="1">
      <protection locked="0"/>
    </xf>
    <xf numFmtId="3" fontId="3" fillId="0" borderId="6" xfId="3" applyNumberFormat="1" applyFont="1" applyBorder="1"/>
    <xf numFmtId="3" fontId="6" fillId="0" borderId="1" xfId="1" applyNumberFormat="1" applyFont="1" applyBorder="1"/>
    <xf numFmtId="3" fontId="11" fillId="0" borderId="5" xfId="1" applyNumberFormat="1" applyFont="1" applyBorder="1"/>
    <xf numFmtId="3" fontId="11" fillId="0" borderId="4" xfId="1" applyNumberFormat="1" applyFont="1" applyBorder="1" applyProtection="1">
      <protection locked="0"/>
    </xf>
    <xf numFmtId="3" fontId="11" fillId="0" borderId="6" xfId="1" applyNumberFormat="1" applyFont="1" applyBorder="1" applyProtection="1">
      <protection locked="0"/>
    </xf>
    <xf numFmtId="3" fontId="11" fillId="0" borderId="1" xfId="1" applyNumberFormat="1" applyFont="1" applyBorder="1" applyProtection="1">
      <protection locked="0"/>
    </xf>
    <xf numFmtId="3" fontId="14" fillId="3" borderId="1" xfId="1" applyNumberFormat="1" applyFont="1" applyFill="1" applyBorder="1"/>
    <xf numFmtId="3" fontId="6" fillId="0" borderId="1" xfId="2" applyNumberFormat="1" applyFont="1" applyBorder="1" applyProtection="1">
      <protection locked="0"/>
    </xf>
    <xf numFmtId="3" fontId="11" fillId="0" borderId="3" xfId="2" applyNumberFormat="1" applyFont="1" applyBorder="1" applyProtection="1">
      <protection locked="0"/>
    </xf>
    <xf numFmtId="3" fontId="11" fillId="0" borderId="4" xfId="1" applyNumberFormat="1" applyFont="1" applyBorder="1"/>
    <xf numFmtId="3" fontId="11" fillId="0" borderId="5" xfId="1" applyNumberFormat="1" applyFont="1" applyBorder="1" applyProtection="1">
      <protection locked="0"/>
    </xf>
    <xf numFmtId="3" fontId="5" fillId="0" borderId="7" xfId="2" applyNumberFormat="1" applyFont="1" applyBorder="1" applyProtection="1">
      <protection locked="0"/>
    </xf>
    <xf numFmtId="49" fontId="19" fillId="2" borderId="2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" fontId="6" fillId="0" borderId="3" xfId="2" applyNumberFormat="1" applyFont="1" applyBorder="1"/>
    <xf numFmtId="4" fontId="6" fillId="0" borderId="2" xfId="2" applyNumberFormat="1" applyFont="1" applyBorder="1"/>
    <xf numFmtId="4" fontId="3" fillId="0" borderId="10" xfId="3" applyNumberFormat="1" applyFont="1" applyBorder="1"/>
    <xf numFmtId="4" fontId="6" fillId="0" borderId="8" xfId="3" applyNumberFormat="1" applyFont="1" applyBorder="1"/>
    <xf numFmtId="4" fontId="6" fillId="0" borderId="8" xfId="2" applyNumberFormat="1" applyFont="1" applyBorder="1"/>
    <xf numFmtId="4" fontId="11" fillId="0" borderId="11" xfId="2" applyNumberFormat="1" applyFont="1" applyBorder="1" applyProtection="1">
      <protection locked="0"/>
    </xf>
    <xf numFmtId="4" fontId="3" fillId="0" borderId="9" xfId="3" applyNumberFormat="1" applyFont="1" applyBorder="1"/>
    <xf numFmtId="4" fontId="5" fillId="0" borderId="12" xfId="2" applyNumberFormat="1" applyFont="1" applyBorder="1" applyProtection="1">
      <protection locked="0"/>
    </xf>
    <xf numFmtId="4" fontId="11" fillId="0" borderId="8" xfId="1" applyNumberFormat="1" applyFont="1" applyBorder="1" applyProtection="1">
      <protection locked="0"/>
    </xf>
    <xf numFmtId="4" fontId="5" fillId="0" borderId="3" xfId="2" applyNumberFormat="1" applyFont="1" applyBorder="1" applyProtection="1">
      <protection locked="0"/>
    </xf>
    <xf numFmtId="0" fontId="11" fillId="0" borderId="3" xfId="1" applyFont="1" applyBorder="1"/>
  </cellXfs>
  <cellStyles count="4">
    <cellStyle name="Normaallaad" xfId="0" builtinId="0"/>
    <cellStyle name="Normal" xfId="3" xr:uid="{5BFAD78C-4CDB-45AA-AEA9-151F50BFC2D3}"/>
    <cellStyle name="Normal 2" xfId="1" xr:uid="{7BE1FD71-D4C3-4D26-92F3-607F86CCCA8D}"/>
    <cellStyle name="Normal_Sheet1 2" xfId="2" xr:uid="{E5B02D4D-D321-41E7-B728-AD631B5C46F5}"/>
  </cellStyles>
  <dxfs count="4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95D0-6C2D-4ECB-BD51-F234F9CA8302}">
  <dimension ref="A1:J153"/>
  <sheetViews>
    <sheetView tabSelected="1" zoomScale="115" zoomScaleNormal="115" workbookViewId="0">
      <selection activeCell="I138" sqref="I138"/>
    </sheetView>
  </sheetViews>
  <sheetFormatPr defaultRowHeight="14.4" x14ac:dyDescent="0.3"/>
  <cols>
    <col min="1" max="1" width="8" customWidth="1"/>
    <col min="2" max="2" width="29.21875" customWidth="1"/>
    <col min="3" max="3" width="12.44140625" customWidth="1"/>
    <col min="4" max="4" width="11.109375" customWidth="1"/>
    <col min="5" max="5" width="11.77734375" customWidth="1"/>
    <col min="6" max="6" width="11.109375" customWidth="1"/>
    <col min="7" max="7" width="12.21875" customWidth="1"/>
    <col min="8" max="8" width="15" customWidth="1"/>
    <col min="9" max="9" width="15.44140625" customWidth="1"/>
  </cols>
  <sheetData>
    <row r="1" spans="1:10" ht="15.75" customHeight="1" x14ac:dyDescent="0.3">
      <c r="H1" s="1"/>
    </row>
    <row r="2" spans="1:10" ht="15.75" customHeight="1" x14ac:dyDescent="0.3">
      <c r="H2" s="1"/>
      <c r="I2" s="1"/>
      <c r="J2" s="1"/>
    </row>
    <row r="3" spans="1:10" ht="15.75" customHeight="1" x14ac:dyDescent="0.3">
      <c r="H3" s="1"/>
      <c r="I3" s="1"/>
      <c r="J3" s="1"/>
    </row>
    <row r="4" spans="1:10" ht="15.75" customHeight="1" thickBot="1" x14ac:dyDescent="0.35">
      <c r="A4" s="2" t="s">
        <v>0</v>
      </c>
      <c r="B4" s="3"/>
      <c r="C4" s="3"/>
      <c r="D4" s="3"/>
      <c r="E4" s="3"/>
      <c r="F4" s="3"/>
      <c r="G4" s="3"/>
      <c r="H4" s="1"/>
      <c r="I4" s="1"/>
      <c r="J4" s="1"/>
    </row>
    <row r="5" spans="1:10" ht="43.5" customHeight="1" thickBot="1" x14ac:dyDescent="0.35">
      <c r="A5" s="3"/>
      <c r="B5" s="4"/>
      <c r="C5" s="36" t="s">
        <v>273</v>
      </c>
      <c r="D5" s="36" t="s">
        <v>275</v>
      </c>
      <c r="E5" s="36" t="s">
        <v>276</v>
      </c>
      <c r="F5" s="107" t="s">
        <v>277</v>
      </c>
      <c r="G5" s="107" t="s">
        <v>274</v>
      </c>
      <c r="H5" s="36" t="s">
        <v>1</v>
      </c>
      <c r="I5" s="108" t="s">
        <v>326</v>
      </c>
    </row>
    <row r="6" spans="1:10" ht="15.75" customHeight="1" thickBot="1" x14ac:dyDescent="0.35">
      <c r="A6" s="5"/>
      <c r="B6" s="12" t="s">
        <v>2</v>
      </c>
      <c r="C6" s="85">
        <f t="shared" ref="C6:H6" si="0">C7+C14+C15+C19</f>
        <v>10357900</v>
      </c>
      <c r="D6" s="85">
        <f t="shared" si="0"/>
        <v>259269</v>
      </c>
      <c r="E6" s="85">
        <f t="shared" si="0"/>
        <v>0</v>
      </c>
      <c r="F6" s="85">
        <f t="shared" si="0"/>
        <v>0</v>
      </c>
      <c r="G6" s="85">
        <f>G7+G14+G15+G19</f>
        <v>10617169</v>
      </c>
      <c r="H6" s="20">
        <f t="shared" si="0"/>
        <v>10018115.77</v>
      </c>
      <c r="I6" s="109">
        <f>I7+I14+I15+I19</f>
        <v>9640796.1099999994</v>
      </c>
    </row>
    <row r="7" spans="1:10" ht="15.75" customHeight="1" thickBot="1" x14ac:dyDescent="0.35">
      <c r="A7" s="5" t="s">
        <v>3</v>
      </c>
      <c r="B7" s="5" t="s">
        <v>4</v>
      </c>
      <c r="C7" s="85">
        <f t="shared" ref="C7:H7" si="1">SUM(C8:C13)</f>
        <v>5726250</v>
      </c>
      <c r="D7" s="85">
        <f t="shared" si="1"/>
        <v>23000</v>
      </c>
      <c r="E7" s="85">
        <f t="shared" si="1"/>
        <v>0</v>
      </c>
      <c r="F7" s="85">
        <f t="shared" si="1"/>
        <v>0</v>
      </c>
      <c r="G7" s="85">
        <f t="shared" si="1"/>
        <v>5749250</v>
      </c>
      <c r="H7" s="20">
        <f t="shared" si="1"/>
        <v>5517450</v>
      </c>
      <c r="I7" s="110">
        <f>SUM(I8:I13)</f>
        <v>5241154</v>
      </c>
    </row>
    <row r="8" spans="1:10" ht="15.75" customHeight="1" x14ac:dyDescent="0.3">
      <c r="A8" s="6" t="s">
        <v>5</v>
      </c>
      <c r="B8" s="6" t="s">
        <v>6</v>
      </c>
      <c r="C8" s="86">
        <v>5421000</v>
      </c>
      <c r="D8" s="86">
        <v>23000</v>
      </c>
      <c r="E8" s="86"/>
      <c r="F8" s="86"/>
      <c r="G8" s="86">
        <f>C8+D8+E8+F8</f>
        <v>5444000</v>
      </c>
      <c r="H8" s="21">
        <v>5212000</v>
      </c>
      <c r="I8" s="111">
        <v>4942365.6500000004</v>
      </c>
    </row>
    <row r="9" spans="1:10" ht="15.75" customHeight="1" x14ac:dyDescent="0.3">
      <c r="A9" s="7" t="s">
        <v>7</v>
      </c>
      <c r="B9" s="7" t="s">
        <v>8</v>
      </c>
      <c r="C9" s="87">
        <v>305000</v>
      </c>
      <c r="D9" s="87"/>
      <c r="E9" s="87"/>
      <c r="F9" s="87"/>
      <c r="G9" s="86">
        <f>C9+D9+E9+F9</f>
        <v>305000</v>
      </c>
      <c r="H9" s="8">
        <v>305000</v>
      </c>
      <c r="I9" s="8">
        <v>298304.43</v>
      </c>
    </row>
    <row r="10" spans="1:10" ht="15.75" customHeight="1" x14ac:dyDescent="0.3">
      <c r="A10" s="7" t="s">
        <v>9</v>
      </c>
      <c r="B10" s="7" t="s">
        <v>10</v>
      </c>
      <c r="C10" s="88"/>
      <c r="D10" s="88"/>
      <c r="E10" s="88"/>
      <c r="F10" s="88"/>
      <c r="G10" s="88"/>
      <c r="H10" s="9"/>
      <c r="I10" s="9"/>
    </row>
    <row r="11" spans="1:10" ht="15.75" customHeight="1" x14ac:dyDescent="0.3">
      <c r="A11" s="7" t="s">
        <v>11</v>
      </c>
      <c r="B11" s="7" t="s">
        <v>12</v>
      </c>
      <c r="C11" s="87">
        <v>250</v>
      </c>
      <c r="D11" s="87"/>
      <c r="E11" s="87"/>
      <c r="F11" s="87"/>
      <c r="G11" s="86">
        <f>C11+D11+E11+F11</f>
        <v>250</v>
      </c>
      <c r="H11" s="8">
        <v>450</v>
      </c>
      <c r="I11" s="8">
        <v>483.92</v>
      </c>
    </row>
    <row r="12" spans="1:10" ht="15.75" customHeight="1" x14ac:dyDescent="0.3">
      <c r="A12" s="7" t="s">
        <v>13</v>
      </c>
      <c r="B12" s="18" t="s">
        <v>14</v>
      </c>
      <c r="C12" s="88"/>
      <c r="D12" s="88"/>
      <c r="E12" s="88"/>
      <c r="F12" s="88"/>
      <c r="G12" s="88"/>
      <c r="H12" s="9"/>
      <c r="I12" s="9"/>
    </row>
    <row r="13" spans="1:10" ht="15.75" customHeight="1" thickBot="1" x14ac:dyDescent="0.35">
      <c r="A13" s="10" t="s">
        <v>15</v>
      </c>
      <c r="B13" s="10" t="s">
        <v>16</v>
      </c>
      <c r="C13" s="89"/>
      <c r="D13" s="89"/>
      <c r="E13" s="89"/>
      <c r="F13" s="89"/>
      <c r="G13" s="89"/>
      <c r="H13" s="16"/>
      <c r="I13" s="11"/>
    </row>
    <row r="14" spans="1:10" s="34" customFormat="1" ht="15.75" customHeight="1" thickBot="1" x14ac:dyDescent="0.35">
      <c r="A14" s="5" t="s">
        <v>17</v>
      </c>
      <c r="B14" s="12" t="s">
        <v>18</v>
      </c>
      <c r="C14" s="90">
        <v>478100</v>
      </c>
      <c r="D14" s="90">
        <v>23000</v>
      </c>
      <c r="E14" s="90"/>
      <c r="F14" s="90"/>
      <c r="G14" s="90">
        <f>C14+D14+E14+F14</f>
        <v>501100</v>
      </c>
      <c r="H14" s="43">
        <v>490530</v>
      </c>
      <c r="I14" s="112">
        <v>478593.51</v>
      </c>
    </row>
    <row r="15" spans="1:10" ht="15.75" customHeight="1" thickBot="1" x14ac:dyDescent="0.35">
      <c r="A15" s="5"/>
      <c r="B15" s="5" t="s">
        <v>19</v>
      </c>
      <c r="C15" s="85">
        <f t="shared" ref="C15:H15" si="2">C16+C17+C18</f>
        <v>4127550</v>
      </c>
      <c r="D15" s="85">
        <f t="shared" si="2"/>
        <v>213269</v>
      </c>
      <c r="E15" s="85">
        <f t="shared" si="2"/>
        <v>0</v>
      </c>
      <c r="F15" s="85">
        <f t="shared" si="2"/>
        <v>0</v>
      </c>
      <c r="G15" s="85">
        <f t="shared" si="2"/>
        <v>4340819</v>
      </c>
      <c r="H15" s="20">
        <f t="shared" si="2"/>
        <v>3934978.9699999997</v>
      </c>
      <c r="I15" s="113">
        <f>I16+I17+I18</f>
        <v>3895953.17</v>
      </c>
    </row>
    <row r="16" spans="1:10" s="35" customFormat="1" ht="15.75" customHeight="1" x14ac:dyDescent="0.3">
      <c r="A16" s="66" t="s">
        <v>20</v>
      </c>
      <c r="B16" s="66" t="s">
        <v>21</v>
      </c>
      <c r="C16" s="91">
        <v>980000</v>
      </c>
      <c r="D16" s="91">
        <v>-26173</v>
      </c>
      <c r="E16" s="91"/>
      <c r="F16" s="91"/>
      <c r="G16" s="86">
        <f t="shared" ref="G16:G18" si="3">C16+D16+E16+F16</f>
        <v>953827</v>
      </c>
      <c r="H16" s="39">
        <v>986961</v>
      </c>
      <c r="I16" s="13">
        <v>1092368</v>
      </c>
    </row>
    <row r="17" spans="1:9" s="35" customFormat="1" ht="15.75" customHeight="1" x14ac:dyDescent="0.3">
      <c r="A17" s="30" t="s">
        <v>22</v>
      </c>
      <c r="B17" s="30" t="s">
        <v>23</v>
      </c>
      <c r="C17" s="92">
        <v>3048905</v>
      </c>
      <c r="D17" s="92">
        <f>250692-7000</f>
        <v>243692</v>
      </c>
      <c r="E17" s="92"/>
      <c r="F17" s="92"/>
      <c r="G17" s="86">
        <f t="shared" si="3"/>
        <v>3292597</v>
      </c>
      <c r="H17" s="26">
        <v>2648212</v>
      </c>
      <c r="I17" s="9">
        <v>2415426</v>
      </c>
    </row>
    <row r="18" spans="1:9" ht="15.75" customHeight="1" thickBot="1" x14ac:dyDescent="0.35">
      <c r="A18" s="14" t="s">
        <v>24</v>
      </c>
      <c r="B18" s="15" t="s">
        <v>25</v>
      </c>
      <c r="C18" s="89">
        <v>98645</v>
      </c>
      <c r="D18" s="89">
        <f>-11250+7000</f>
        <v>-4250</v>
      </c>
      <c r="E18" s="89"/>
      <c r="F18" s="89"/>
      <c r="G18" s="86">
        <f t="shared" si="3"/>
        <v>94395</v>
      </c>
      <c r="H18" s="16">
        <f>279805.97+20000</f>
        <v>299805.96999999997</v>
      </c>
      <c r="I18" s="16">
        <f>360537.35+26560+1061.82</f>
        <v>388159.17</v>
      </c>
    </row>
    <row r="19" spans="1:9" ht="15.75" customHeight="1" thickBot="1" x14ac:dyDescent="0.35">
      <c r="A19" s="5"/>
      <c r="B19" s="5" t="s">
        <v>26</v>
      </c>
      <c r="C19" s="93">
        <f t="shared" ref="C19:H19" si="4">SUM(C20:C23)</f>
        <v>26000</v>
      </c>
      <c r="D19" s="93">
        <f t="shared" si="4"/>
        <v>0</v>
      </c>
      <c r="E19" s="93">
        <f t="shared" si="4"/>
        <v>0</v>
      </c>
      <c r="F19" s="93">
        <f t="shared" si="4"/>
        <v>0</v>
      </c>
      <c r="G19" s="93">
        <f t="shared" si="4"/>
        <v>26000</v>
      </c>
      <c r="H19" s="17">
        <f t="shared" si="4"/>
        <v>75156.800000000003</v>
      </c>
      <c r="I19" s="17">
        <f>SUM(I20:I23)</f>
        <v>25095.43</v>
      </c>
    </row>
    <row r="20" spans="1:9" ht="15.75" customHeight="1" x14ac:dyDescent="0.3">
      <c r="A20" s="6" t="s">
        <v>27</v>
      </c>
      <c r="B20" s="6" t="s">
        <v>28</v>
      </c>
      <c r="C20" s="94"/>
      <c r="D20" s="94"/>
      <c r="E20" s="94"/>
      <c r="F20" s="94"/>
      <c r="G20" s="94"/>
      <c r="H20" s="13"/>
      <c r="I20" s="13"/>
    </row>
    <row r="21" spans="1:9" ht="15.75" customHeight="1" x14ac:dyDescent="0.3">
      <c r="A21" s="7" t="s">
        <v>29</v>
      </c>
      <c r="B21" s="18" t="s">
        <v>30</v>
      </c>
      <c r="C21" s="88">
        <v>18000</v>
      </c>
      <c r="D21" s="88"/>
      <c r="E21" s="88"/>
      <c r="F21" s="88"/>
      <c r="G21" s="86">
        <f>C21+D21+E21+F21</f>
        <v>18000</v>
      </c>
      <c r="H21" s="9">
        <v>19000</v>
      </c>
      <c r="I21" s="9">
        <v>18244.14</v>
      </c>
    </row>
    <row r="22" spans="1:9" ht="20.100000000000001" customHeight="1" x14ac:dyDescent="0.3">
      <c r="A22" s="7" t="s">
        <v>31</v>
      </c>
      <c r="B22" s="19" t="s">
        <v>32</v>
      </c>
      <c r="C22" s="88"/>
      <c r="D22" s="88"/>
      <c r="E22" s="88"/>
      <c r="F22" s="88"/>
      <c r="G22" s="88"/>
      <c r="H22" s="9"/>
      <c r="I22" s="9"/>
    </row>
    <row r="23" spans="1:9" ht="15.75" customHeight="1" thickBot="1" x14ac:dyDescent="0.35">
      <c r="A23" s="10" t="s">
        <v>33</v>
      </c>
      <c r="B23" s="10" t="s">
        <v>26</v>
      </c>
      <c r="C23" s="89">
        <v>8000</v>
      </c>
      <c r="D23" s="89"/>
      <c r="E23" s="89"/>
      <c r="F23" s="89"/>
      <c r="G23" s="86">
        <f>C23+D23+E23+F23</f>
        <v>8000</v>
      </c>
      <c r="H23" s="16">
        <v>56156.800000000003</v>
      </c>
      <c r="I23" s="9">
        <v>6851.29</v>
      </c>
    </row>
    <row r="24" spans="1:9" ht="15.75" customHeight="1" thickBot="1" x14ac:dyDescent="0.35">
      <c r="A24" s="5"/>
      <c r="B24" s="12" t="s">
        <v>34</v>
      </c>
      <c r="C24" s="85">
        <f t="shared" ref="C24:H24" si="5">C25+C30</f>
        <v>9893352</v>
      </c>
      <c r="D24" s="85">
        <f t="shared" si="5"/>
        <v>61946</v>
      </c>
      <c r="E24" s="85">
        <f t="shared" si="5"/>
        <v>20000</v>
      </c>
      <c r="F24" s="85">
        <f t="shared" si="5"/>
        <v>0</v>
      </c>
      <c r="G24" s="85">
        <f>G25+G30</f>
        <v>9975298</v>
      </c>
      <c r="H24" s="20">
        <f t="shared" si="5"/>
        <v>9466190.9699999988</v>
      </c>
      <c r="I24" s="20">
        <f>I25+I30</f>
        <v>8686182.0899999999</v>
      </c>
    </row>
    <row r="25" spans="1:9" ht="15.75" customHeight="1" thickBot="1" x14ac:dyDescent="0.35">
      <c r="A25" s="5"/>
      <c r="B25" s="12" t="s">
        <v>35</v>
      </c>
      <c r="C25" s="85">
        <f t="shared" ref="C25:H25" si="6">C26+C27+C28+C29</f>
        <v>803537</v>
      </c>
      <c r="D25" s="85">
        <f t="shared" si="6"/>
        <v>7988</v>
      </c>
      <c r="E25" s="85">
        <f t="shared" si="6"/>
        <v>0</v>
      </c>
      <c r="F25" s="85">
        <f t="shared" si="6"/>
        <v>0</v>
      </c>
      <c r="G25" s="85">
        <f>G26+G27+G28+G29</f>
        <v>811525</v>
      </c>
      <c r="H25" s="20">
        <f t="shared" si="6"/>
        <v>926149.78</v>
      </c>
      <c r="I25" s="20">
        <f>I26+I27+I28+I29</f>
        <v>629280.43999999994</v>
      </c>
    </row>
    <row r="26" spans="1:9" ht="15.75" customHeight="1" x14ac:dyDescent="0.3">
      <c r="A26" s="6" t="s">
        <v>36</v>
      </c>
      <c r="B26" s="46" t="s">
        <v>37</v>
      </c>
      <c r="C26" s="91"/>
      <c r="D26" s="91"/>
      <c r="E26" s="91"/>
      <c r="F26" s="91"/>
      <c r="G26" s="91"/>
      <c r="H26" s="39"/>
      <c r="I26" s="114"/>
    </row>
    <row r="27" spans="1:9" ht="15.75" customHeight="1" x14ac:dyDescent="0.3">
      <c r="A27" s="7" t="s">
        <v>38</v>
      </c>
      <c r="B27" s="47" t="s">
        <v>39</v>
      </c>
      <c r="C27" s="87">
        <v>493678</v>
      </c>
      <c r="D27" s="87">
        <v>9988</v>
      </c>
      <c r="E27" s="87"/>
      <c r="F27" s="87"/>
      <c r="G27" s="86">
        <f>C27+D27+E27+F27</f>
        <v>503666</v>
      </c>
      <c r="H27" s="8">
        <v>601084.78</v>
      </c>
      <c r="I27" s="115">
        <v>305594.01</v>
      </c>
    </row>
    <row r="28" spans="1:9" ht="15.75" customHeight="1" x14ac:dyDescent="0.3">
      <c r="A28" s="7" t="s">
        <v>40</v>
      </c>
      <c r="B28" s="48" t="s">
        <v>41</v>
      </c>
      <c r="C28" s="87">
        <v>309859</v>
      </c>
      <c r="D28" s="87">
        <v>-2000</v>
      </c>
      <c r="E28" s="87"/>
      <c r="F28" s="87">
        <f>-2000+2000</f>
        <v>0</v>
      </c>
      <c r="G28" s="86">
        <f t="shared" ref="G28" si="7">C28+D28+E28+F28</f>
        <v>307859</v>
      </c>
      <c r="H28" s="8">
        <v>325065</v>
      </c>
      <c r="I28" s="115">
        <v>323686.43</v>
      </c>
    </row>
    <row r="29" spans="1:9" ht="15.75" customHeight="1" thickBot="1" x14ac:dyDescent="0.35">
      <c r="A29" s="10" t="s">
        <v>42</v>
      </c>
      <c r="B29" s="49" t="s">
        <v>43</v>
      </c>
      <c r="C29" s="89"/>
      <c r="D29" s="89"/>
      <c r="E29" s="89"/>
      <c r="F29" s="89"/>
      <c r="G29" s="89"/>
      <c r="H29" s="16"/>
      <c r="I29" s="116"/>
    </row>
    <row r="30" spans="1:9" ht="15.75" customHeight="1" thickBot="1" x14ac:dyDescent="0.35">
      <c r="A30" s="5"/>
      <c r="B30" s="5" t="s">
        <v>44</v>
      </c>
      <c r="C30" s="93">
        <f t="shared" ref="C30:H30" si="8">C31+C32+C33</f>
        <v>9089815</v>
      </c>
      <c r="D30" s="93">
        <f t="shared" si="8"/>
        <v>53958</v>
      </c>
      <c r="E30" s="93">
        <f t="shared" si="8"/>
        <v>20000</v>
      </c>
      <c r="F30" s="93">
        <f t="shared" si="8"/>
        <v>0</v>
      </c>
      <c r="G30" s="93">
        <f>G31+G32+G33</f>
        <v>9163773</v>
      </c>
      <c r="H30" s="17">
        <f t="shared" si="8"/>
        <v>8540041.1899999995</v>
      </c>
      <c r="I30" s="17">
        <f>I31+I32+I33</f>
        <v>8056901.6500000004</v>
      </c>
    </row>
    <row r="31" spans="1:9" ht="15.75" customHeight="1" x14ac:dyDescent="0.3">
      <c r="A31" s="6" t="s">
        <v>45</v>
      </c>
      <c r="B31" s="6" t="s">
        <v>46</v>
      </c>
      <c r="C31" s="86">
        <v>5998218</v>
      </c>
      <c r="D31" s="86">
        <f>20750</f>
        <v>20750</v>
      </c>
      <c r="E31" s="86"/>
      <c r="F31" s="86"/>
      <c r="G31" s="86">
        <f t="shared" ref="G31:G33" si="9">C31+D31+E31+F31</f>
        <v>6018968</v>
      </c>
      <c r="H31" s="21">
        <v>5405436.6299999999</v>
      </c>
      <c r="I31" s="21">
        <v>4844456.57</v>
      </c>
    </row>
    <row r="32" spans="1:9" ht="15.75" customHeight="1" x14ac:dyDescent="0.3">
      <c r="A32" s="7" t="s">
        <v>47</v>
      </c>
      <c r="B32" s="7" t="s">
        <v>48</v>
      </c>
      <c r="C32" s="87">
        <v>3051447</v>
      </c>
      <c r="D32" s="87">
        <f>45208</f>
        <v>45208</v>
      </c>
      <c r="E32" s="87"/>
      <c r="F32" s="87"/>
      <c r="G32" s="86">
        <f t="shared" si="9"/>
        <v>3096655</v>
      </c>
      <c r="H32" s="8">
        <v>3132742.8</v>
      </c>
      <c r="I32" s="8">
        <v>3200956.35</v>
      </c>
    </row>
    <row r="33" spans="1:9" ht="15.75" customHeight="1" thickBot="1" x14ac:dyDescent="0.35">
      <c r="A33" s="10" t="s">
        <v>49</v>
      </c>
      <c r="B33" s="10" t="s">
        <v>50</v>
      </c>
      <c r="C33" s="95">
        <v>40150</v>
      </c>
      <c r="D33" s="95">
        <v>-12000</v>
      </c>
      <c r="E33" s="95">
        <v>20000</v>
      </c>
      <c r="F33" s="95"/>
      <c r="G33" s="86">
        <f t="shared" si="9"/>
        <v>48150</v>
      </c>
      <c r="H33" s="22">
        <v>1861.76</v>
      </c>
      <c r="I33" s="22">
        <v>11488.73</v>
      </c>
    </row>
    <row r="34" spans="1:9" s="35" customFormat="1" ht="15.75" customHeight="1" thickBot="1" x14ac:dyDescent="0.35">
      <c r="A34" s="23"/>
      <c r="B34" s="50" t="s">
        <v>51</v>
      </c>
      <c r="C34" s="96">
        <f t="shared" ref="C34:H34" si="10">C6-C24</f>
        <v>464548</v>
      </c>
      <c r="D34" s="96">
        <f t="shared" si="10"/>
        <v>197323</v>
      </c>
      <c r="E34" s="96">
        <f t="shared" si="10"/>
        <v>-20000</v>
      </c>
      <c r="F34" s="96">
        <f t="shared" si="10"/>
        <v>0</v>
      </c>
      <c r="G34" s="96">
        <f>G6-G24</f>
        <v>641871</v>
      </c>
      <c r="H34" s="24">
        <f t="shared" si="10"/>
        <v>551924.80000000075</v>
      </c>
      <c r="I34" s="24">
        <f t="shared" ref="I34" si="11">I6-I24</f>
        <v>954614.01999999955</v>
      </c>
    </row>
    <row r="35" spans="1:9" ht="15.75" customHeight="1" thickBot="1" x14ac:dyDescent="0.35">
      <c r="A35" s="5"/>
      <c r="B35" s="51" t="s">
        <v>52</v>
      </c>
      <c r="C35" s="96">
        <f t="shared" ref="C35:H35" si="12">C36-C37+C38-C39+C40-C41+C42-C43+C44-C45+C46-C47</f>
        <v>-1496020</v>
      </c>
      <c r="D35" s="96">
        <f t="shared" si="12"/>
        <v>69000</v>
      </c>
      <c r="E35" s="96">
        <f t="shared" si="12"/>
        <v>20000</v>
      </c>
      <c r="F35" s="96">
        <f t="shared" si="12"/>
        <v>0</v>
      </c>
      <c r="G35" s="96">
        <f t="shared" si="12"/>
        <v>-1407020</v>
      </c>
      <c r="H35" s="24">
        <f t="shared" si="12"/>
        <v>-893564.8</v>
      </c>
      <c r="I35" s="24">
        <f>I36-I37+I38-I39+I40-I41+I42-I43+I44-I45+I46-I47</f>
        <v>-3447123.8</v>
      </c>
    </row>
    <row r="36" spans="1:9" ht="15.75" customHeight="1" x14ac:dyDescent="0.3">
      <c r="A36" s="6" t="s">
        <v>53</v>
      </c>
      <c r="B36" s="6" t="s">
        <v>54</v>
      </c>
      <c r="C36" s="94">
        <v>500000</v>
      </c>
      <c r="D36" s="94"/>
      <c r="E36" s="94"/>
      <c r="F36" s="94"/>
      <c r="G36" s="86">
        <f t="shared" ref="G36:G39" si="13">C36+D36+E36+F36</f>
        <v>500000</v>
      </c>
      <c r="H36" s="13">
        <v>155000</v>
      </c>
      <c r="I36" s="13">
        <v>100430</v>
      </c>
    </row>
    <row r="37" spans="1:9" ht="15.75" customHeight="1" x14ac:dyDescent="0.3">
      <c r="A37" s="7" t="s">
        <v>55</v>
      </c>
      <c r="B37" s="7" t="s">
        <v>56</v>
      </c>
      <c r="C37" s="88">
        <v>1944700</v>
      </c>
      <c r="D37" s="88">
        <v>-109000</v>
      </c>
      <c r="E37" s="88"/>
      <c r="F37" s="88"/>
      <c r="G37" s="86">
        <f>C37+D37+E37+F37</f>
        <v>1835700</v>
      </c>
      <c r="H37" s="9">
        <v>1090911.8</v>
      </c>
      <c r="I37" s="9">
        <v>2920441.76</v>
      </c>
    </row>
    <row r="38" spans="1:9" ht="15.75" customHeight="1" x14ac:dyDescent="0.3">
      <c r="A38" s="7" t="s">
        <v>57</v>
      </c>
      <c r="B38" s="18" t="s">
        <v>58</v>
      </c>
      <c r="C38" s="88">
        <v>791680</v>
      </c>
      <c r="D38" s="88"/>
      <c r="E38" s="88"/>
      <c r="F38" s="88"/>
      <c r="G38" s="86">
        <f t="shared" si="13"/>
        <v>791680</v>
      </c>
      <c r="H38" s="9">
        <v>290606</v>
      </c>
      <c r="I38" s="9">
        <v>1278549.78</v>
      </c>
    </row>
    <row r="39" spans="1:9" ht="15.75" customHeight="1" x14ac:dyDescent="0.3">
      <c r="A39" s="7" t="s">
        <v>59</v>
      </c>
      <c r="B39" s="18" t="s">
        <v>60</v>
      </c>
      <c r="C39" s="88">
        <v>765000</v>
      </c>
      <c r="D39" s="88"/>
      <c r="E39" s="88">
        <v>-20000</v>
      </c>
      <c r="F39" s="88"/>
      <c r="G39" s="86">
        <f t="shared" si="13"/>
        <v>745000</v>
      </c>
      <c r="H39" s="9">
        <v>198099</v>
      </c>
      <c r="I39" s="9">
        <v>1871772.47</v>
      </c>
    </row>
    <row r="40" spans="1:9" ht="15.75" customHeight="1" x14ac:dyDescent="0.3">
      <c r="A40" s="7" t="s">
        <v>61</v>
      </c>
      <c r="B40" s="7" t="s">
        <v>62</v>
      </c>
      <c r="C40" s="97"/>
      <c r="D40" s="97"/>
      <c r="E40" s="97"/>
      <c r="F40" s="97"/>
      <c r="G40" s="97"/>
      <c r="H40" s="25"/>
      <c r="I40" s="25"/>
    </row>
    <row r="41" spans="1:9" ht="15.75" customHeight="1" x14ac:dyDescent="0.3">
      <c r="A41" s="7" t="s">
        <v>63</v>
      </c>
      <c r="B41" s="7" t="s">
        <v>64</v>
      </c>
      <c r="C41" s="97"/>
      <c r="D41" s="97"/>
      <c r="E41" s="97"/>
      <c r="F41" s="97"/>
      <c r="G41" s="97"/>
      <c r="H41" s="25"/>
      <c r="I41" s="25"/>
    </row>
    <row r="42" spans="1:9" ht="15.75" customHeight="1" x14ac:dyDescent="0.3">
      <c r="A42" s="7" t="s">
        <v>65</v>
      </c>
      <c r="B42" s="18" t="s">
        <v>66</v>
      </c>
      <c r="C42" s="97"/>
      <c r="D42" s="97"/>
      <c r="E42" s="97"/>
      <c r="F42" s="97"/>
      <c r="G42" s="97"/>
      <c r="H42" s="25"/>
      <c r="I42" s="25"/>
    </row>
    <row r="43" spans="1:9" ht="15.75" customHeight="1" x14ac:dyDescent="0.3">
      <c r="A43" s="7" t="s">
        <v>67</v>
      </c>
      <c r="B43" s="18" t="s">
        <v>68</v>
      </c>
      <c r="C43" s="97"/>
      <c r="D43" s="97"/>
      <c r="E43" s="97"/>
      <c r="F43" s="97"/>
      <c r="G43" s="97"/>
      <c r="H43" s="25"/>
      <c r="I43" s="25"/>
    </row>
    <row r="44" spans="1:9" ht="15.75" customHeight="1" x14ac:dyDescent="0.3">
      <c r="A44" s="7" t="s">
        <v>69</v>
      </c>
      <c r="B44" s="7" t="s">
        <v>70</v>
      </c>
      <c r="C44" s="92"/>
      <c r="D44" s="92"/>
      <c r="E44" s="92"/>
      <c r="F44" s="92"/>
      <c r="G44" s="92"/>
      <c r="H44" s="26"/>
      <c r="I44" s="26"/>
    </row>
    <row r="45" spans="1:9" ht="15.75" customHeight="1" x14ac:dyDescent="0.3">
      <c r="A45" s="7" t="s">
        <v>71</v>
      </c>
      <c r="B45" s="7" t="s">
        <v>72</v>
      </c>
      <c r="C45" s="97"/>
      <c r="D45" s="97"/>
      <c r="E45" s="97"/>
      <c r="F45" s="97"/>
      <c r="G45" s="97"/>
      <c r="H45" s="25"/>
      <c r="I45" s="25"/>
    </row>
    <row r="46" spans="1:9" ht="15.75" customHeight="1" x14ac:dyDescent="0.3">
      <c r="A46" s="7" t="s">
        <v>73</v>
      </c>
      <c r="B46" s="7" t="s">
        <v>74</v>
      </c>
      <c r="C46" s="97"/>
      <c r="D46" s="97"/>
      <c r="E46" s="97"/>
      <c r="F46" s="97"/>
      <c r="G46" s="97"/>
      <c r="H46" s="25"/>
      <c r="I46" s="25"/>
    </row>
    <row r="47" spans="1:9" ht="15.75" customHeight="1" thickBot="1" x14ac:dyDescent="0.35">
      <c r="A47" s="10" t="s">
        <v>75</v>
      </c>
      <c r="B47" s="10" t="s">
        <v>76</v>
      </c>
      <c r="C47" s="89">
        <v>78000</v>
      </c>
      <c r="D47" s="89">
        <v>40000</v>
      </c>
      <c r="E47" s="89"/>
      <c r="F47" s="89"/>
      <c r="G47" s="86">
        <f>C47+D47+E47+F47</f>
        <v>118000</v>
      </c>
      <c r="H47" s="16">
        <v>50160</v>
      </c>
      <c r="I47" s="16">
        <v>33889.35</v>
      </c>
    </row>
    <row r="48" spans="1:9" ht="27.75" customHeight="1" thickBot="1" x14ac:dyDescent="0.35">
      <c r="A48" s="5"/>
      <c r="B48" s="27" t="s">
        <v>77</v>
      </c>
      <c r="C48" s="96">
        <f t="shared" ref="C48:H48" si="14">C34+C35</f>
        <v>-1031472</v>
      </c>
      <c r="D48" s="96">
        <f t="shared" si="14"/>
        <v>266323</v>
      </c>
      <c r="E48" s="96">
        <f t="shared" si="14"/>
        <v>0</v>
      </c>
      <c r="F48" s="96">
        <f t="shared" si="14"/>
        <v>0</v>
      </c>
      <c r="G48" s="96">
        <f t="shared" si="14"/>
        <v>-765149</v>
      </c>
      <c r="H48" s="24">
        <f t="shared" si="14"/>
        <v>-341639.9999999993</v>
      </c>
      <c r="I48" s="24">
        <f>I34+I35</f>
        <v>-2492509.7800000003</v>
      </c>
    </row>
    <row r="49" spans="1:9" ht="15.75" customHeight="1" thickBot="1" x14ac:dyDescent="0.35">
      <c r="A49" s="5"/>
      <c r="B49" s="12" t="s">
        <v>78</v>
      </c>
      <c r="C49" s="96">
        <f t="shared" ref="C49:H49" si="15">C50+C51</f>
        <v>1034900</v>
      </c>
      <c r="D49" s="96">
        <f t="shared" si="15"/>
        <v>0</v>
      </c>
      <c r="E49" s="96">
        <f t="shared" si="15"/>
        <v>0</v>
      </c>
      <c r="F49" s="96">
        <f t="shared" si="15"/>
        <v>0</v>
      </c>
      <c r="G49" s="96">
        <f t="shared" si="15"/>
        <v>1034900</v>
      </c>
      <c r="H49" s="24">
        <f t="shared" si="15"/>
        <v>-65078</v>
      </c>
      <c r="I49" s="24">
        <f>I50+I51</f>
        <v>2669036.4300000002</v>
      </c>
    </row>
    <row r="50" spans="1:9" ht="15.75" customHeight="1" x14ac:dyDescent="0.3">
      <c r="A50" s="6" t="s">
        <v>79</v>
      </c>
      <c r="B50" s="6" t="s">
        <v>80</v>
      </c>
      <c r="C50" s="98">
        <v>1450000</v>
      </c>
      <c r="D50" s="98"/>
      <c r="E50" s="98"/>
      <c r="F50" s="98"/>
      <c r="G50" s="86">
        <f t="shared" ref="G50:G51" si="16">C50+D50+E50+F50</f>
        <v>1450000</v>
      </c>
      <c r="H50" s="28">
        <v>350000</v>
      </c>
      <c r="I50" s="28">
        <v>2980000</v>
      </c>
    </row>
    <row r="51" spans="1:9" ht="15.75" customHeight="1" x14ac:dyDescent="0.3">
      <c r="A51" s="7" t="s">
        <v>81</v>
      </c>
      <c r="B51" s="7" t="s">
        <v>82</v>
      </c>
      <c r="C51" s="88">
        <v>-415100</v>
      </c>
      <c r="D51" s="88"/>
      <c r="E51" s="88"/>
      <c r="F51" s="88"/>
      <c r="G51" s="86">
        <f t="shared" si="16"/>
        <v>-415100</v>
      </c>
      <c r="H51" s="9">
        <v>-415078</v>
      </c>
      <c r="I51" s="9">
        <v>-310963.57</v>
      </c>
    </row>
    <row r="52" spans="1:9" ht="15.75" customHeight="1" thickBot="1" x14ac:dyDescent="0.35">
      <c r="A52" s="31" t="s">
        <v>83</v>
      </c>
      <c r="B52" s="52" t="s">
        <v>84</v>
      </c>
      <c r="C52" s="99">
        <v>0</v>
      </c>
      <c r="D52" s="99"/>
      <c r="E52" s="99"/>
      <c r="F52" s="99"/>
      <c r="G52" s="86">
        <f t="shared" ref="G52" si="17">C52+D52</f>
        <v>0</v>
      </c>
      <c r="H52" s="44">
        <v>-264128.40999999997</v>
      </c>
      <c r="I52" s="117">
        <v>-507875.82</v>
      </c>
    </row>
    <row r="53" spans="1:9" ht="15.75" customHeight="1" thickBot="1" x14ac:dyDescent="0.35">
      <c r="A53" s="5"/>
      <c r="B53" s="53" t="s">
        <v>85</v>
      </c>
      <c r="C53" s="100">
        <v>-125000</v>
      </c>
      <c r="D53" s="100">
        <v>-144751</v>
      </c>
      <c r="E53" s="100"/>
      <c r="F53" s="100"/>
      <c r="G53" s="100">
        <f>C53+D53+E53+F53</f>
        <v>-269751</v>
      </c>
      <c r="H53" s="40">
        <v>142589.59</v>
      </c>
      <c r="I53" s="118">
        <v>-684402.47</v>
      </c>
    </row>
    <row r="54" spans="1:9" ht="15.75" customHeight="1" thickBot="1" x14ac:dyDescent="0.35">
      <c r="A54" s="37"/>
      <c r="B54" s="54"/>
      <c r="C54" s="101">
        <f>C48+C49-C52+C53</f>
        <v>-121572</v>
      </c>
      <c r="D54" s="101">
        <f>D48+D49-D52+D53</f>
        <v>121572</v>
      </c>
      <c r="E54" s="101">
        <f>E48+E49-E52+E53</f>
        <v>0</v>
      </c>
      <c r="F54" s="101">
        <f t="shared" ref="F54:H54" si="18">F48+F49-F52+F53</f>
        <v>0</v>
      </c>
      <c r="G54" s="101">
        <f>G48+G49-G52+G53</f>
        <v>0</v>
      </c>
      <c r="H54" s="29">
        <f t="shared" si="18"/>
        <v>6.6938810050487518E-10</v>
      </c>
      <c r="I54" s="29">
        <f>I48+I49-I52+I53</f>
        <v>0</v>
      </c>
    </row>
    <row r="55" spans="1:9" ht="48.6" customHeight="1" thickBot="1" x14ac:dyDescent="0.35">
      <c r="A55" s="5"/>
      <c r="B55" s="27" t="s">
        <v>86</v>
      </c>
      <c r="C55" s="93">
        <f t="shared" ref="C55:H55" si="19">C56+C63+C65+C69+C86+C93+C100+C107+C125+C138</f>
        <v>12681052</v>
      </c>
      <c r="D55" s="93">
        <f t="shared" si="19"/>
        <v>-7054</v>
      </c>
      <c r="E55" s="93">
        <f t="shared" si="19"/>
        <v>0</v>
      </c>
      <c r="F55" s="93">
        <f t="shared" si="19"/>
        <v>0</v>
      </c>
      <c r="G55" s="93">
        <f t="shared" si="19"/>
        <v>12673998</v>
      </c>
      <c r="H55" s="17">
        <f t="shared" si="19"/>
        <v>10805361.77</v>
      </c>
      <c r="I55" s="17">
        <f>I56+I63+I65+I69+I86+I93+I100+I107+I125+I138</f>
        <v>13513347.490000002</v>
      </c>
    </row>
    <row r="56" spans="1:9" ht="15.75" customHeight="1" thickBot="1" x14ac:dyDescent="0.35">
      <c r="A56" s="5" t="s">
        <v>87</v>
      </c>
      <c r="B56" s="12" t="s">
        <v>88</v>
      </c>
      <c r="C56" s="96">
        <f t="shared" ref="C56:H56" si="20">SUM(C57:C62)</f>
        <v>1114464</v>
      </c>
      <c r="D56" s="96">
        <f t="shared" si="20"/>
        <v>19120</v>
      </c>
      <c r="E56" s="96">
        <f t="shared" si="20"/>
        <v>0</v>
      </c>
      <c r="F56" s="96">
        <f t="shared" si="20"/>
        <v>0</v>
      </c>
      <c r="G56" s="96">
        <f t="shared" si="20"/>
        <v>1133584</v>
      </c>
      <c r="H56" s="24">
        <f t="shared" si="20"/>
        <v>1009616.89</v>
      </c>
      <c r="I56" s="24">
        <f>SUM(I57:I62)</f>
        <v>929091.21000000008</v>
      </c>
    </row>
    <row r="57" spans="1:9" ht="15.75" customHeight="1" x14ac:dyDescent="0.3">
      <c r="A57" s="6" t="s">
        <v>89</v>
      </c>
      <c r="B57" s="6" t="s">
        <v>90</v>
      </c>
      <c r="C57" s="94">
        <v>97424</v>
      </c>
      <c r="D57" s="94">
        <v>-6880</v>
      </c>
      <c r="E57" s="94"/>
      <c r="F57" s="94"/>
      <c r="G57" s="86">
        <f t="shared" ref="G57:G62" si="21">C57+D57+E57+F57</f>
        <v>90544</v>
      </c>
      <c r="H57" s="13">
        <v>97924</v>
      </c>
      <c r="I57" s="13">
        <v>64947.93</v>
      </c>
    </row>
    <row r="58" spans="1:9" ht="15.75" customHeight="1" x14ac:dyDescent="0.3">
      <c r="A58" s="7" t="s">
        <v>91</v>
      </c>
      <c r="B58" s="18" t="s">
        <v>92</v>
      </c>
      <c r="C58" s="88">
        <v>720040</v>
      </c>
      <c r="D58" s="88">
        <v>-2000</v>
      </c>
      <c r="E58" s="88"/>
      <c r="F58" s="88"/>
      <c r="G58" s="86">
        <f t="shared" si="21"/>
        <v>718040</v>
      </c>
      <c r="H58" s="9">
        <f>674919.13+25000</f>
        <v>699919.13</v>
      </c>
      <c r="I58" s="9">
        <f>640880.74+20692.04</f>
        <v>661572.78</v>
      </c>
    </row>
    <row r="59" spans="1:9" ht="15.75" customHeight="1" x14ac:dyDescent="0.3">
      <c r="A59" s="7" t="s">
        <v>93</v>
      </c>
      <c r="B59" s="18" t="s">
        <v>94</v>
      </c>
      <c r="C59" s="88">
        <v>40000</v>
      </c>
      <c r="D59" s="88">
        <v>-12000</v>
      </c>
      <c r="E59" s="88">
        <v>20000</v>
      </c>
      <c r="F59" s="88"/>
      <c r="G59" s="86">
        <f t="shared" si="21"/>
        <v>48000</v>
      </c>
      <c r="H59" s="9">
        <v>1591.76</v>
      </c>
      <c r="I59" s="9"/>
    </row>
    <row r="60" spans="1:9" ht="15.75" customHeight="1" x14ac:dyDescent="0.3">
      <c r="A60" s="7" t="s">
        <v>95</v>
      </c>
      <c r="B60" s="18" t="s">
        <v>96</v>
      </c>
      <c r="C60" s="88">
        <f>12000+100000</f>
        <v>112000</v>
      </c>
      <c r="D60" s="88"/>
      <c r="E60" s="88">
        <v>-20000</v>
      </c>
      <c r="F60" s="88"/>
      <c r="G60" s="86">
        <f t="shared" si="21"/>
        <v>92000</v>
      </c>
      <c r="H60" s="9">
        <f>12800+80000</f>
        <v>92800</v>
      </c>
      <c r="I60" s="9">
        <f>36065.55+66000</f>
        <v>102065.55</v>
      </c>
    </row>
    <row r="61" spans="1:9" s="35" customFormat="1" ht="15.75" customHeight="1" x14ac:dyDescent="0.3">
      <c r="A61" s="30" t="s">
        <v>97</v>
      </c>
      <c r="B61" s="55" t="s">
        <v>98</v>
      </c>
      <c r="C61" s="92">
        <v>78000</v>
      </c>
      <c r="D61" s="92">
        <v>40000</v>
      </c>
      <c r="E61" s="92"/>
      <c r="F61" s="92"/>
      <c r="G61" s="86">
        <f t="shared" si="21"/>
        <v>118000</v>
      </c>
      <c r="H61" s="26">
        <v>50160</v>
      </c>
      <c r="I61" s="26">
        <v>33889.35</v>
      </c>
    </row>
    <row r="62" spans="1:9" ht="15.75" customHeight="1" thickBot="1" x14ac:dyDescent="0.35">
      <c r="A62" s="10"/>
      <c r="B62" s="56" t="s">
        <v>99</v>
      </c>
      <c r="C62" s="89">
        <v>67000</v>
      </c>
      <c r="D62" s="89"/>
      <c r="E62" s="89"/>
      <c r="F62" s="89"/>
      <c r="G62" s="86">
        <f t="shared" si="21"/>
        <v>67000</v>
      </c>
      <c r="H62" s="16">
        <v>67222</v>
      </c>
      <c r="I62" s="16">
        <v>66615.600000000006</v>
      </c>
    </row>
    <row r="63" spans="1:9" ht="15.75" customHeight="1" thickBot="1" x14ac:dyDescent="0.35">
      <c r="A63" s="5" t="s">
        <v>100</v>
      </c>
      <c r="B63" s="5" t="s">
        <v>101</v>
      </c>
      <c r="C63" s="102">
        <f t="shared" ref="C63:H63" si="22">C64</f>
        <v>0</v>
      </c>
      <c r="D63" s="102">
        <f t="shared" si="22"/>
        <v>0</v>
      </c>
      <c r="E63" s="102">
        <f t="shared" si="22"/>
        <v>0</v>
      </c>
      <c r="F63" s="102">
        <f t="shared" si="22"/>
        <v>0</v>
      </c>
      <c r="G63" s="102">
        <f t="shared" si="22"/>
        <v>0</v>
      </c>
      <c r="H63" s="42">
        <f t="shared" si="22"/>
        <v>10000</v>
      </c>
      <c r="I63" s="42">
        <f>I64</f>
        <v>0</v>
      </c>
    </row>
    <row r="64" spans="1:9" ht="15.75" customHeight="1" thickBot="1" x14ac:dyDescent="0.35">
      <c r="A64" s="38" t="s">
        <v>102</v>
      </c>
      <c r="B64" s="38" t="s">
        <v>103</v>
      </c>
      <c r="C64" s="103"/>
      <c r="D64" s="103"/>
      <c r="E64" s="103"/>
      <c r="F64" s="103"/>
      <c r="G64" s="103"/>
      <c r="H64" s="45">
        <v>10000</v>
      </c>
      <c r="I64" s="119"/>
    </row>
    <row r="65" spans="1:9" ht="15.75" customHeight="1" thickBot="1" x14ac:dyDescent="0.35">
      <c r="A65" s="5" t="s">
        <v>104</v>
      </c>
      <c r="B65" s="5" t="s">
        <v>105</v>
      </c>
      <c r="C65" s="96">
        <f t="shared" ref="C65:H65" si="23">SUM(C66:C68)</f>
        <v>28794</v>
      </c>
      <c r="D65" s="96">
        <f t="shared" si="23"/>
        <v>-1000</v>
      </c>
      <c r="E65" s="96">
        <f t="shared" si="23"/>
        <v>0</v>
      </c>
      <c r="F65" s="96">
        <f t="shared" si="23"/>
        <v>0</v>
      </c>
      <c r="G65" s="96">
        <f t="shared" si="23"/>
        <v>27794</v>
      </c>
      <c r="H65" s="24">
        <f t="shared" si="23"/>
        <v>29394</v>
      </c>
      <c r="I65" s="24">
        <f>SUM(I66:I68)</f>
        <v>26225.170000000002</v>
      </c>
    </row>
    <row r="66" spans="1:9" ht="15.75" customHeight="1" x14ac:dyDescent="0.3">
      <c r="A66" s="6" t="s">
        <v>106</v>
      </c>
      <c r="B66" s="6" t="s">
        <v>107</v>
      </c>
      <c r="C66" s="94">
        <v>2194</v>
      </c>
      <c r="D66" s="94"/>
      <c r="E66" s="94"/>
      <c r="F66" s="94"/>
      <c r="G66" s="86">
        <f t="shared" ref="G66:G67" si="24">C66+D66+E66+F66</f>
        <v>2194</v>
      </c>
      <c r="H66" s="13">
        <v>2194</v>
      </c>
      <c r="I66" s="13">
        <v>2192.79</v>
      </c>
    </row>
    <row r="67" spans="1:9" ht="15.75" customHeight="1" x14ac:dyDescent="0.3">
      <c r="A67" s="7" t="s">
        <v>108</v>
      </c>
      <c r="B67" s="7" t="s">
        <v>109</v>
      </c>
      <c r="C67" s="88">
        <v>26600</v>
      </c>
      <c r="D67" s="88">
        <v>-1000</v>
      </c>
      <c r="E67" s="88"/>
      <c r="F67" s="88"/>
      <c r="G67" s="86">
        <f t="shared" si="24"/>
        <v>25600</v>
      </c>
      <c r="H67" s="9">
        <v>27200</v>
      </c>
      <c r="I67" s="9">
        <v>24032.38</v>
      </c>
    </row>
    <row r="68" spans="1:9" ht="15.75" customHeight="1" thickBot="1" x14ac:dyDescent="0.35">
      <c r="A68" s="10"/>
      <c r="B68" s="10" t="s">
        <v>110</v>
      </c>
      <c r="C68" s="89"/>
      <c r="D68" s="89"/>
      <c r="E68" s="89"/>
      <c r="F68" s="89"/>
      <c r="G68" s="89"/>
      <c r="H68" s="16"/>
      <c r="I68" s="16"/>
    </row>
    <row r="69" spans="1:9" ht="15.75" customHeight="1" thickBot="1" x14ac:dyDescent="0.35">
      <c r="A69" s="5" t="s">
        <v>111</v>
      </c>
      <c r="B69" s="5" t="s">
        <v>112</v>
      </c>
      <c r="C69" s="96">
        <f t="shared" ref="C69:H69" si="25">SUM(C70:C85)</f>
        <v>1323372</v>
      </c>
      <c r="D69" s="96">
        <f t="shared" si="25"/>
        <v>-40900</v>
      </c>
      <c r="E69" s="96">
        <f t="shared" si="25"/>
        <v>0</v>
      </c>
      <c r="F69" s="96">
        <f t="shared" si="25"/>
        <v>0</v>
      </c>
      <c r="G69" s="96">
        <f t="shared" si="25"/>
        <v>1282472</v>
      </c>
      <c r="H69" s="24">
        <f t="shared" si="25"/>
        <v>1337919</v>
      </c>
      <c r="I69" s="24">
        <f>SUM(I70:I85)</f>
        <v>2853848.23</v>
      </c>
    </row>
    <row r="70" spans="1:9" ht="15.75" customHeight="1" x14ac:dyDescent="0.3">
      <c r="A70" s="6" t="s">
        <v>113</v>
      </c>
      <c r="B70" s="57" t="s">
        <v>114</v>
      </c>
      <c r="C70" s="104"/>
      <c r="D70" s="104"/>
      <c r="E70" s="104"/>
      <c r="F70" s="104"/>
      <c r="G70" s="104"/>
      <c r="H70" s="41"/>
      <c r="I70" s="41"/>
    </row>
    <row r="71" spans="1:9" ht="15.75" customHeight="1" x14ac:dyDescent="0.3">
      <c r="A71" s="7" t="s">
        <v>115</v>
      </c>
      <c r="B71" s="47" t="s">
        <v>116</v>
      </c>
      <c r="C71" s="88"/>
      <c r="D71" s="88"/>
      <c r="E71" s="88"/>
      <c r="F71" s="88"/>
      <c r="G71" s="88"/>
      <c r="H71" s="9"/>
      <c r="I71" s="9"/>
    </row>
    <row r="72" spans="1:9" ht="15.75" customHeight="1" x14ac:dyDescent="0.3">
      <c r="A72" s="7" t="s">
        <v>117</v>
      </c>
      <c r="B72" s="47" t="s">
        <v>118</v>
      </c>
      <c r="C72" s="105"/>
      <c r="D72" s="105"/>
      <c r="E72" s="105"/>
      <c r="F72" s="105"/>
      <c r="G72" s="105"/>
      <c r="H72" s="32"/>
      <c r="I72" s="32"/>
    </row>
    <row r="73" spans="1:9" ht="15.75" customHeight="1" x14ac:dyDescent="0.3">
      <c r="A73" s="7" t="s">
        <v>119</v>
      </c>
      <c r="B73" s="47" t="s">
        <v>120</v>
      </c>
      <c r="C73" s="105"/>
      <c r="D73" s="105"/>
      <c r="E73" s="105"/>
      <c r="F73" s="105"/>
      <c r="G73" s="105"/>
      <c r="H73" s="32"/>
      <c r="I73" s="32"/>
    </row>
    <row r="74" spans="1:9" ht="15.75" customHeight="1" x14ac:dyDescent="0.3">
      <c r="A74" s="7" t="s">
        <v>121</v>
      </c>
      <c r="B74" s="48" t="s">
        <v>122</v>
      </c>
      <c r="C74" s="88">
        <v>12000</v>
      </c>
      <c r="D74" s="88"/>
      <c r="E74" s="88"/>
      <c r="F74" s="88"/>
      <c r="G74" s="86">
        <f t="shared" ref="G74:G76" si="26">C74+D74+E74+F74</f>
        <v>12000</v>
      </c>
      <c r="H74" s="9">
        <v>12000</v>
      </c>
      <c r="I74" s="9">
        <v>11130</v>
      </c>
    </row>
    <row r="75" spans="1:9" ht="15.75" customHeight="1" x14ac:dyDescent="0.3">
      <c r="A75" s="7" t="s">
        <v>123</v>
      </c>
      <c r="B75" s="48" t="s">
        <v>124</v>
      </c>
      <c r="C75" s="88">
        <v>42400</v>
      </c>
      <c r="D75" s="88"/>
      <c r="E75" s="88"/>
      <c r="F75" s="88"/>
      <c r="G75" s="86">
        <f t="shared" si="26"/>
        <v>42400</v>
      </c>
      <c r="H75" s="9">
        <v>24470</v>
      </c>
      <c r="I75" s="9">
        <v>24771.08</v>
      </c>
    </row>
    <row r="76" spans="1:9" ht="15.75" customHeight="1" x14ac:dyDescent="0.3">
      <c r="A76" s="7" t="s">
        <v>125</v>
      </c>
      <c r="B76" s="67" t="s">
        <v>126</v>
      </c>
      <c r="C76" s="88">
        <v>290000</v>
      </c>
      <c r="D76" s="88">
        <v>-22000</v>
      </c>
      <c r="E76" s="88"/>
      <c r="F76" s="88"/>
      <c r="G76" s="86">
        <f t="shared" si="26"/>
        <v>268000</v>
      </c>
      <c r="H76" s="9">
        <f>138000+181000</f>
        <v>319000</v>
      </c>
      <c r="I76" s="9">
        <f>159306.35+387379.97</f>
        <v>546686.31999999995</v>
      </c>
    </row>
    <row r="77" spans="1:9" ht="15.75" customHeight="1" x14ac:dyDescent="0.3">
      <c r="A77" s="7" t="s">
        <v>127</v>
      </c>
      <c r="B77" s="48" t="s">
        <v>128</v>
      </c>
      <c r="C77" s="88"/>
      <c r="D77" s="88"/>
      <c r="E77" s="88"/>
      <c r="F77" s="88"/>
      <c r="G77" s="88"/>
      <c r="H77" s="9"/>
      <c r="I77" s="9"/>
    </row>
    <row r="78" spans="1:9" ht="15.75" customHeight="1" x14ac:dyDescent="0.3">
      <c r="A78" s="7" t="s">
        <v>129</v>
      </c>
      <c r="B78" s="48" t="s">
        <v>130</v>
      </c>
      <c r="C78" s="105"/>
      <c r="D78" s="105"/>
      <c r="E78" s="105"/>
      <c r="F78" s="105"/>
      <c r="G78" s="105"/>
      <c r="H78" s="32"/>
      <c r="I78" s="32"/>
    </row>
    <row r="79" spans="1:9" ht="15.75" customHeight="1" x14ac:dyDescent="0.3">
      <c r="A79" s="7" t="s">
        <v>131</v>
      </c>
      <c r="B79" s="48" t="s">
        <v>132</v>
      </c>
      <c r="C79" s="105"/>
      <c r="D79" s="105"/>
      <c r="E79" s="105"/>
      <c r="F79" s="105"/>
      <c r="G79" s="105"/>
      <c r="H79" s="32"/>
      <c r="I79" s="32"/>
    </row>
    <row r="80" spans="1:9" ht="15.75" customHeight="1" x14ac:dyDescent="0.3">
      <c r="A80" s="7" t="s">
        <v>133</v>
      </c>
      <c r="B80" s="48" t="s">
        <v>134</v>
      </c>
      <c r="C80" s="105"/>
      <c r="D80" s="105"/>
      <c r="E80" s="105"/>
      <c r="F80" s="105"/>
      <c r="G80" s="105"/>
      <c r="H80" s="32"/>
      <c r="I80" s="32"/>
    </row>
    <row r="81" spans="1:9" ht="15.75" customHeight="1" x14ac:dyDescent="0.3">
      <c r="A81" s="7" t="s">
        <v>135</v>
      </c>
      <c r="B81" s="48" t="s">
        <v>136</v>
      </c>
      <c r="C81" s="88">
        <v>27620</v>
      </c>
      <c r="D81" s="88">
        <v>-500</v>
      </c>
      <c r="E81" s="88"/>
      <c r="F81" s="88"/>
      <c r="G81" s="86">
        <f t="shared" ref="G81:G84" si="27">C81+D81+E81+F81</f>
        <v>27120</v>
      </c>
      <c r="H81" s="9">
        <v>40792</v>
      </c>
      <c r="I81" s="9">
        <v>51730.34</v>
      </c>
    </row>
    <row r="82" spans="1:9" ht="15.75" customHeight="1" x14ac:dyDescent="0.3">
      <c r="A82" s="7" t="s">
        <v>137</v>
      </c>
      <c r="B82" s="48" t="s">
        <v>138</v>
      </c>
      <c r="C82" s="88">
        <v>2000</v>
      </c>
      <c r="D82" s="88">
        <v>-400</v>
      </c>
      <c r="E82" s="88"/>
      <c r="F82" s="88"/>
      <c r="G82" s="86">
        <f t="shared" si="27"/>
        <v>1600</v>
      </c>
      <c r="H82" s="9">
        <v>1650</v>
      </c>
      <c r="I82" s="9">
        <v>987.76</v>
      </c>
    </row>
    <row r="83" spans="1:9" ht="15.75" customHeight="1" x14ac:dyDescent="0.3">
      <c r="A83" s="7" t="s">
        <v>139</v>
      </c>
      <c r="B83" s="48" t="s">
        <v>140</v>
      </c>
      <c r="C83" s="88">
        <v>779370</v>
      </c>
      <c r="D83" s="88">
        <v>-16000</v>
      </c>
      <c r="E83" s="88"/>
      <c r="F83" s="88"/>
      <c r="G83" s="86">
        <f t="shared" si="27"/>
        <v>763370</v>
      </c>
      <c r="H83" s="9">
        <f>106000+676654</f>
        <v>782654</v>
      </c>
      <c r="I83" s="9">
        <f>254227.59+1819852.21</f>
        <v>2074079.8</v>
      </c>
    </row>
    <row r="84" spans="1:9" ht="15.75" customHeight="1" x14ac:dyDescent="0.3">
      <c r="A84" s="7" t="s">
        <v>141</v>
      </c>
      <c r="B84" s="47" t="s">
        <v>142</v>
      </c>
      <c r="C84" s="88">
        <v>169982</v>
      </c>
      <c r="D84" s="88">
        <v>-2000</v>
      </c>
      <c r="E84" s="88"/>
      <c r="F84" s="88"/>
      <c r="G84" s="86">
        <f t="shared" si="27"/>
        <v>167982</v>
      </c>
      <c r="H84" s="9">
        <f>157353</f>
        <v>157353</v>
      </c>
      <c r="I84" s="9">
        <v>144462.93</v>
      </c>
    </row>
    <row r="85" spans="1:9" ht="15.75" customHeight="1" thickBot="1" x14ac:dyDescent="0.35">
      <c r="A85" s="10"/>
      <c r="B85" s="49" t="s">
        <v>143</v>
      </c>
      <c r="C85" s="89"/>
      <c r="D85" s="89"/>
      <c r="E85" s="89"/>
      <c r="F85" s="89"/>
      <c r="G85" s="89"/>
      <c r="H85" s="16"/>
      <c r="I85" s="16"/>
    </row>
    <row r="86" spans="1:9" ht="15.75" customHeight="1" thickBot="1" x14ac:dyDescent="0.35">
      <c r="A86" s="5" t="s">
        <v>144</v>
      </c>
      <c r="B86" s="5" t="s">
        <v>145</v>
      </c>
      <c r="C86" s="96">
        <f t="shared" ref="C86:H86" si="28">SUM(C87:C92)</f>
        <v>607533</v>
      </c>
      <c r="D86" s="96">
        <f t="shared" si="28"/>
        <v>-30000</v>
      </c>
      <c r="E86" s="96">
        <f t="shared" si="28"/>
        <v>0</v>
      </c>
      <c r="F86" s="96">
        <f t="shared" si="28"/>
        <v>0</v>
      </c>
      <c r="G86" s="96">
        <f t="shared" si="28"/>
        <v>577533</v>
      </c>
      <c r="H86" s="24">
        <f t="shared" si="28"/>
        <v>585985</v>
      </c>
      <c r="I86" s="24">
        <f>SUM(I87:I92)</f>
        <v>595227.77999999991</v>
      </c>
    </row>
    <row r="87" spans="1:9" ht="15.75" customHeight="1" x14ac:dyDescent="0.3">
      <c r="A87" s="6" t="s">
        <v>146</v>
      </c>
      <c r="B87" s="46" t="s">
        <v>147</v>
      </c>
      <c r="C87" s="94">
        <v>31563</v>
      </c>
      <c r="D87" s="94"/>
      <c r="E87" s="94"/>
      <c r="F87" s="94"/>
      <c r="G87" s="86">
        <f t="shared" ref="G87:G91" si="29">C87+D87+E87+F87</f>
        <v>31563</v>
      </c>
      <c r="H87" s="13">
        <v>97109</v>
      </c>
      <c r="I87" s="13">
        <v>96306.06</v>
      </c>
    </row>
    <row r="88" spans="1:9" ht="15.75" customHeight="1" x14ac:dyDescent="0.3">
      <c r="A88" s="7" t="s">
        <v>148</v>
      </c>
      <c r="B88" s="48" t="s">
        <v>149</v>
      </c>
      <c r="C88" s="88">
        <v>202500</v>
      </c>
      <c r="D88" s="88"/>
      <c r="E88" s="88"/>
      <c r="F88" s="88"/>
      <c r="G88" s="86">
        <f t="shared" si="29"/>
        <v>202500</v>
      </c>
      <c r="H88" s="9">
        <v>135000</v>
      </c>
      <c r="I88" s="9">
        <v>213854.04</v>
      </c>
    </row>
    <row r="89" spans="1:9" ht="15.75" customHeight="1" x14ac:dyDescent="0.3">
      <c r="A89" s="7" t="s">
        <v>150</v>
      </c>
      <c r="B89" s="48" t="s">
        <v>151</v>
      </c>
      <c r="C89" s="88">
        <f>250+25000</f>
        <v>25250</v>
      </c>
      <c r="D89" s="88"/>
      <c r="E89" s="88"/>
      <c r="F89" s="88"/>
      <c r="G89" s="86">
        <f t="shared" si="29"/>
        <v>25250</v>
      </c>
      <c r="H89" s="9">
        <f>300+20000+21000</f>
        <v>41300</v>
      </c>
      <c r="I89" s="9">
        <f>236.46+38087.66</f>
        <v>38324.120000000003</v>
      </c>
    </row>
    <row r="90" spans="1:9" ht="15.75" customHeight="1" x14ac:dyDescent="0.3">
      <c r="A90" s="7" t="s">
        <v>152</v>
      </c>
      <c r="B90" s="48" t="s">
        <v>153</v>
      </c>
      <c r="C90" s="88">
        <f>3000</f>
        <v>3000</v>
      </c>
      <c r="D90" s="88"/>
      <c r="E90" s="88"/>
      <c r="F90" s="88"/>
      <c r="G90" s="86">
        <f t="shared" si="29"/>
        <v>3000</v>
      </c>
      <c r="H90" s="9">
        <v>20000</v>
      </c>
      <c r="I90" s="9">
        <v>18678.72</v>
      </c>
    </row>
    <row r="91" spans="1:9" ht="15.75" customHeight="1" x14ac:dyDescent="0.3">
      <c r="A91" s="7" t="s">
        <v>154</v>
      </c>
      <c r="B91" s="47" t="s">
        <v>155</v>
      </c>
      <c r="C91" s="88">
        <v>345220</v>
      </c>
      <c r="D91" s="88">
        <v>-30000</v>
      </c>
      <c r="E91" s="88"/>
      <c r="F91" s="88"/>
      <c r="G91" s="86">
        <f t="shared" si="29"/>
        <v>315220</v>
      </c>
      <c r="H91" s="9">
        <v>292576</v>
      </c>
      <c r="I91" s="9">
        <v>228064.84</v>
      </c>
    </row>
    <row r="92" spans="1:9" ht="15.75" customHeight="1" thickBot="1" x14ac:dyDescent="0.35">
      <c r="A92" s="10"/>
      <c r="B92" s="49" t="s">
        <v>156</v>
      </c>
      <c r="C92" s="89"/>
      <c r="D92" s="89"/>
      <c r="E92" s="89"/>
      <c r="F92" s="89"/>
      <c r="G92" s="89"/>
      <c r="H92" s="16"/>
      <c r="I92" s="16"/>
    </row>
    <row r="93" spans="1:9" ht="15.75" customHeight="1" thickBot="1" x14ac:dyDescent="0.35">
      <c r="A93" s="5" t="s">
        <v>157</v>
      </c>
      <c r="B93" s="12" t="s">
        <v>158</v>
      </c>
      <c r="C93" s="96">
        <f t="shared" ref="C93:H93" si="30">SUM(C94:C99)</f>
        <v>189241</v>
      </c>
      <c r="D93" s="96">
        <f t="shared" si="30"/>
        <v>-5700</v>
      </c>
      <c r="E93" s="96">
        <f t="shared" si="30"/>
        <v>0</v>
      </c>
      <c r="F93" s="96">
        <f t="shared" si="30"/>
        <v>0</v>
      </c>
      <c r="G93" s="96">
        <f t="shared" si="30"/>
        <v>183541</v>
      </c>
      <c r="H93" s="24">
        <f t="shared" si="30"/>
        <v>222551</v>
      </c>
      <c r="I93" s="24">
        <f>SUM(I94:I99)</f>
        <v>1199348.4000000001</v>
      </c>
    </row>
    <row r="94" spans="1:9" ht="15.75" customHeight="1" x14ac:dyDescent="0.3">
      <c r="A94" s="6" t="s">
        <v>159</v>
      </c>
      <c r="B94" s="57" t="s">
        <v>160</v>
      </c>
      <c r="C94" s="94">
        <f>44100+12000</f>
        <v>56100</v>
      </c>
      <c r="D94" s="94">
        <v>-4000</v>
      </c>
      <c r="E94" s="94"/>
      <c r="F94" s="94"/>
      <c r="G94" s="86">
        <f>C94+D94+E94+F94</f>
        <v>52100</v>
      </c>
      <c r="H94" s="13">
        <f>44100+8000</f>
        <v>52100</v>
      </c>
      <c r="I94" s="13">
        <v>47626.79</v>
      </c>
    </row>
    <row r="95" spans="1:9" ht="15.75" customHeight="1" x14ac:dyDescent="0.3">
      <c r="A95" s="7" t="s">
        <v>161</v>
      </c>
      <c r="B95" s="47" t="s">
        <v>162</v>
      </c>
      <c r="C95" s="88"/>
      <c r="D95" s="88"/>
      <c r="E95" s="88"/>
      <c r="F95" s="88"/>
      <c r="G95" s="88"/>
      <c r="H95" s="9"/>
      <c r="I95" s="9"/>
    </row>
    <row r="96" spans="1:9" ht="15.75" customHeight="1" x14ac:dyDescent="0.3">
      <c r="A96" s="7" t="s">
        <v>163</v>
      </c>
      <c r="B96" s="47" t="s">
        <v>164</v>
      </c>
      <c r="C96" s="88">
        <v>20000</v>
      </c>
      <c r="D96" s="88"/>
      <c r="E96" s="88"/>
      <c r="F96" s="88"/>
      <c r="G96" s="86">
        <f t="shared" ref="G96:G98" si="31">C96+D96+E96+F96</f>
        <v>20000</v>
      </c>
      <c r="H96" s="9">
        <v>45000</v>
      </c>
      <c r="I96" s="9">
        <v>58171.93</v>
      </c>
    </row>
    <row r="97" spans="1:9" ht="15.75" customHeight="1" x14ac:dyDescent="0.3">
      <c r="A97" s="7" t="s">
        <v>165</v>
      </c>
      <c r="B97" s="47" t="s">
        <v>166</v>
      </c>
      <c r="C97" s="88">
        <v>57000</v>
      </c>
      <c r="D97" s="88"/>
      <c r="E97" s="88"/>
      <c r="F97" s="88"/>
      <c r="G97" s="86">
        <f t="shared" si="31"/>
        <v>57000</v>
      </c>
      <c r="H97" s="9">
        <f>62000+10000</f>
        <v>72000</v>
      </c>
      <c r="I97" s="9">
        <f>57970.78+952394.81</f>
        <v>1010365.5900000001</v>
      </c>
    </row>
    <row r="98" spans="1:9" ht="15.75" customHeight="1" x14ac:dyDescent="0.3">
      <c r="A98" s="7" t="s">
        <v>167</v>
      </c>
      <c r="B98" s="47" t="s">
        <v>168</v>
      </c>
      <c r="C98" s="88">
        <v>56141</v>
      </c>
      <c r="D98" s="88">
        <v>-1700</v>
      </c>
      <c r="E98" s="88"/>
      <c r="F98" s="88"/>
      <c r="G98" s="86">
        <f t="shared" si="31"/>
        <v>54441</v>
      </c>
      <c r="H98" s="9">
        <v>53451</v>
      </c>
      <c r="I98" s="9">
        <f>41840.73+41343.36</f>
        <v>83184.09</v>
      </c>
    </row>
    <row r="99" spans="1:9" ht="15.75" customHeight="1" thickBot="1" x14ac:dyDescent="0.35">
      <c r="A99" s="10"/>
      <c r="B99" s="58" t="s">
        <v>169</v>
      </c>
      <c r="C99" s="89"/>
      <c r="D99" s="89"/>
      <c r="E99" s="89"/>
      <c r="F99" s="89"/>
      <c r="G99" s="89"/>
      <c r="H99" s="16"/>
      <c r="I99" s="16"/>
    </row>
    <row r="100" spans="1:9" ht="15.75" customHeight="1" thickBot="1" x14ac:dyDescent="0.35">
      <c r="A100" s="5" t="s">
        <v>170</v>
      </c>
      <c r="B100" s="5" t="s">
        <v>171</v>
      </c>
      <c r="C100" s="96">
        <f t="shared" ref="C100:H100" si="32">SUM(C101:C106)</f>
        <v>602850</v>
      </c>
      <c r="D100" s="96">
        <f t="shared" si="32"/>
        <v>-800</v>
      </c>
      <c r="E100" s="96">
        <f t="shared" si="32"/>
        <v>0</v>
      </c>
      <c r="F100" s="96">
        <f t="shared" si="32"/>
        <v>0</v>
      </c>
      <c r="G100" s="96">
        <f t="shared" si="32"/>
        <v>602050</v>
      </c>
      <c r="H100" s="24">
        <f t="shared" si="32"/>
        <v>13800</v>
      </c>
      <c r="I100" s="24">
        <f>SUM(I101:I106)</f>
        <v>14913.54</v>
      </c>
    </row>
    <row r="101" spans="1:9" ht="15.75" customHeight="1" x14ac:dyDescent="0.3">
      <c r="A101" s="6" t="s">
        <v>172</v>
      </c>
      <c r="B101" s="59" t="s">
        <v>173</v>
      </c>
      <c r="C101" s="98"/>
      <c r="D101" s="98"/>
      <c r="E101" s="98"/>
      <c r="F101" s="98"/>
      <c r="G101" s="98"/>
      <c r="H101" s="28"/>
      <c r="I101" s="28"/>
    </row>
    <row r="102" spans="1:9" ht="15.75" customHeight="1" x14ac:dyDescent="0.3">
      <c r="A102" s="7" t="s">
        <v>174</v>
      </c>
      <c r="B102" s="60" t="s">
        <v>175</v>
      </c>
      <c r="C102" s="105"/>
      <c r="D102" s="105"/>
      <c r="E102" s="105"/>
      <c r="F102" s="105"/>
      <c r="G102" s="105"/>
      <c r="H102" s="32"/>
      <c r="I102" s="32"/>
    </row>
    <row r="103" spans="1:9" ht="15.75" customHeight="1" x14ac:dyDescent="0.3">
      <c r="A103" s="7" t="s">
        <v>176</v>
      </c>
      <c r="B103" s="60" t="s">
        <v>177</v>
      </c>
      <c r="C103" s="105"/>
      <c r="D103" s="105"/>
      <c r="E103" s="105"/>
      <c r="F103" s="105"/>
      <c r="G103" s="105"/>
      <c r="H103" s="32"/>
      <c r="I103" s="32"/>
    </row>
    <row r="104" spans="1:9" ht="15.75" customHeight="1" x14ac:dyDescent="0.3">
      <c r="A104" s="7" t="s">
        <v>178</v>
      </c>
      <c r="B104" s="60" t="s">
        <v>179</v>
      </c>
      <c r="C104" s="105"/>
      <c r="D104" s="105"/>
      <c r="E104" s="105"/>
      <c r="F104" s="105"/>
      <c r="G104" s="105"/>
      <c r="H104" s="32"/>
      <c r="I104" s="32"/>
    </row>
    <row r="105" spans="1:9" ht="15.75" customHeight="1" x14ac:dyDescent="0.3">
      <c r="A105" s="7" t="s">
        <v>180</v>
      </c>
      <c r="B105" s="61" t="s">
        <v>181</v>
      </c>
      <c r="C105" s="105">
        <v>600000</v>
      </c>
      <c r="D105" s="105"/>
      <c r="E105" s="105"/>
      <c r="F105" s="105"/>
      <c r="G105" s="86">
        <f t="shared" ref="G105:G106" si="33">C105+D105+E105+F105</f>
        <v>600000</v>
      </c>
      <c r="H105" s="32">
        <v>0</v>
      </c>
      <c r="I105" s="32"/>
    </row>
    <row r="106" spans="1:9" ht="15.75" customHeight="1" thickBot="1" x14ac:dyDescent="0.35">
      <c r="A106" s="10"/>
      <c r="B106" s="62" t="s">
        <v>182</v>
      </c>
      <c r="C106" s="89">
        <v>2850</v>
      </c>
      <c r="D106" s="89">
        <v>-800</v>
      </c>
      <c r="E106" s="89"/>
      <c r="F106" s="89"/>
      <c r="G106" s="86">
        <f t="shared" si="33"/>
        <v>2050</v>
      </c>
      <c r="H106" s="16">
        <v>13800</v>
      </c>
      <c r="I106" s="16">
        <v>14913.54</v>
      </c>
    </row>
    <row r="107" spans="1:9" ht="15.75" customHeight="1" thickBot="1" x14ac:dyDescent="0.35">
      <c r="A107" s="5" t="s">
        <v>183</v>
      </c>
      <c r="B107" s="12" t="s">
        <v>184</v>
      </c>
      <c r="C107" s="96">
        <f t="shared" ref="C107:H107" si="34">SUM(C108:C124)</f>
        <v>1090058</v>
      </c>
      <c r="D107" s="96">
        <f t="shared" si="34"/>
        <v>-60200</v>
      </c>
      <c r="E107" s="96">
        <f t="shared" si="34"/>
        <v>0</v>
      </c>
      <c r="F107" s="96">
        <f t="shared" si="34"/>
        <v>0</v>
      </c>
      <c r="G107" s="96">
        <f t="shared" si="34"/>
        <v>1029858</v>
      </c>
      <c r="H107" s="24">
        <f t="shared" si="34"/>
        <v>1111608.3900000001</v>
      </c>
      <c r="I107" s="24">
        <f>SUM(I108:I124)</f>
        <v>1232481.9499999997</v>
      </c>
    </row>
    <row r="108" spans="1:9" ht="15.75" customHeight="1" x14ac:dyDescent="0.3">
      <c r="A108" s="6" t="s">
        <v>185</v>
      </c>
      <c r="B108" s="63" t="s">
        <v>186</v>
      </c>
      <c r="C108" s="94">
        <v>116934</v>
      </c>
      <c r="D108" s="94"/>
      <c r="E108" s="94"/>
      <c r="F108" s="94"/>
      <c r="G108" s="86">
        <f t="shared" ref="G108:G114" si="35">C108+D108+E108+F108</f>
        <v>116934</v>
      </c>
      <c r="H108" s="13">
        <f>99945+50000</f>
        <v>149945</v>
      </c>
      <c r="I108" s="13">
        <f>97112.37+158474</f>
        <v>255586.37</v>
      </c>
    </row>
    <row r="109" spans="1:9" ht="15.75" customHeight="1" x14ac:dyDescent="0.3">
      <c r="A109" s="7" t="s">
        <v>187</v>
      </c>
      <c r="B109" s="48" t="s">
        <v>188</v>
      </c>
      <c r="C109" s="88">
        <f>9700+10000</f>
        <v>19700</v>
      </c>
      <c r="D109" s="88">
        <v>-7000</v>
      </c>
      <c r="E109" s="88"/>
      <c r="F109" s="88"/>
      <c r="G109" s="86">
        <f t="shared" si="35"/>
        <v>12700</v>
      </c>
      <c r="H109" s="9">
        <v>5950</v>
      </c>
      <c r="I109" s="9">
        <v>4646.22</v>
      </c>
    </row>
    <row r="110" spans="1:9" ht="15.75" customHeight="1" x14ac:dyDescent="0.3">
      <c r="A110" s="7" t="s">
        <v>189</v>
      </c>
      <c r="B110" s="48" t="s">
        <v>190</v>
      </c>
      <c r="C110" s="88">
        <v>168812</v>
      </c>
      <c r="D110" s="88">
        <v>-1300</v>
      </c>
      <c r="E110" s="88"/>
      <c r="F110" s="88"/>
      <c r="G110" s="86">
        <f t="shared" si="35"/>
        <v>167512</v>
      </c>
      <c r="H110" s="9">
        <v>148060</v>
      </c>
      <c r="I110" s="9">
        <f>147203.18+27104.88</f>
        <v>174308.06</v>
      </c>
    </row>
    <row r="111" spans="1:9" ht="15.75" customHeight="1" x14ac:dyDescent="0.3">
      <c r="A111" s="7" t="s">
        <v>191</v>
      </c>
      <c r="B111" s="48" t="s">
        <v>192</v>
      </c>
      <c r="C111" s="88">
        <v>32000</v>
      </c>
      <c r="D111" s="88"/>
      <c r="E111" s="88"/>
      <c r="F111" s="88">
        <v>-2000</v>
      </c>
      <c r="G111" s="86">
        <f t="shared" si="35"/>
        <v>30000</v>
      </c>
      <c r="H111" s="9">
        <v>34000</v>
      </c>
      <c r="I111" s="9">
        <v>33152.25</v>
      </c>
    </row>
    <row r="112" spans="1:9" ht="15.75" customHeight="1" x14ac:dyDescent="0.3">
      <c r="A112" s="7" t="s">
        <v>193</v>
      </c>
      <c r="B112" s="48" t="s">
        <v>194</v>
      </c>
      <c r="C112" s="88">
        <v>169158</v>
      </c>
      <c r="D112" s="88">
        <v>-5600</v>
      </c>
      <c r="E112" s="88"/>
      <c r="F112" s="88"/>
      <c r="G112" s="86">
        <f t="shared" si="35"/>
        <v>163558</v>
      </c>
      <c r="H112" s="9">
        <v>160010</v>
      </c>
      <c r="I112" s="9">
        <v>164340.65</v>
      </c>
    </row>
    <row r="113" spans="1:9" ht="15.75" customHeight="1" x14ac:dyDescent="0.3">
      <c r="A113" s="7" t="s">
        <v>195</v>
      </c>
      <c r="B113" s="48" t="s">
        <v>196</v>
      </c>
      <c r="C113" s="88">
        <f>389089+22000</f>
        <v>411089</v>
      </c>
      <c r="D113" s="88">
        <v>-39460</v>
      </c>
      <c r="E113" s="88"/>
      <c r="F113" s="88"/>
      <c r="G113" s="86">
        <f t="shared" si="35"/>
        <v>371629</v>
      </c>
      <c r="H113" s="9">
        <f>383922.39+79700</f>
        <v>463622.39</v>
      </c>
      <c r="I113" s="9">
        <v>347970.91</v>
      </c>
    </row>
    <row r="114" spans="1:9" ht="15.75" customHeight="1" x14ac:dyDescent="0.3">
      <c r="A114" s="7" t="s">
        <v>197</v>
      </c>
      <c r="B114" s="48" t="s">
        <v>198</v>
      </c>
      <c r="C114" s="88">
        <v>56565</v>
      </c>
      <c r="D114" s="88">
        <v>-2340</v>
      </c>
      <c r="E114" s="88"/>
      <c r="F114" s="88"/>
      <c r="G114" s="86">
        <f t="shared" si="35"/>
        <v>54225</v>
      </c>
      <c r="H114" s="9">
        <f>28051+14000</f>
        <v>42051</v>
      </c>
      <c r="I114" s="9">
        <v>26405.29</v>
      </c>
    </row>
    <row r="115" spans="1:9" ht="15.75" customHeight="1" x14ac:dyDescent="0.3">
      <c r="A115" s="7" t="s">
        <v>199</v>
      </c>
      <c r="B115" s="48" t="s">
        <v>200</v>
      </c>
      <c r="C115" s="88"/>
      <c r="D115" s="88"/>
      <c r="E115" s="88"/>
      <c r="F115" s="88"/>
      <c r="G115" s="88"/>
      <c r="H115" s="9"/>
      <c r="I115" s="9"/>
    </row>
    <row r="116" spans="1:9" ht="15.75" customHeight="1" x14ac:dyDescent="0.3">
      <c r="A116" s="7" t="s">
        <v>201</v>
      </c>
      <c r="B116" s="48" t="s">
        <v>202</v>
      </c>
      <c r="C116" s="88">
        <v>13480</v>
      </c>
      <c r="D116" s="88"/>
      <c r="E116" s="88"/>
      <c r="F116" s="88"/>
      <c r="G116" s="86">
        <f>C116+D116+E116+F116</f>
        <v>13480</v>
      </c>
      <c r="H116" s="9">
        <v>13150</v>
      </c>
      <c r="I116" s="9">
        <f>24795.69+104472</f>
        <v>129267.69</v>
      </c>
    </row>
    <row r="117" spans="1:9" ht="15.75" customHeight="1" x14ac:dyDescent="0.3">
      <c r="A117" s="7" t="s">
        <v>203</v>
      </c>
      <c r="B117" s="48" t="s">
        <v>204</v>
      </c>
      <c r="C117" s="88"/>
      <c r="D117" s="88"/>
      <c r="E117" s="88"/>
      <c r="F117" s="88"/>
      <c r="G117" s="88"/>
      <c r="H117" s="9"/>
      <c r="I117" s="9"/>
    </row>
    <row r="118" spans="1:9" ht="15.75" customHeight="1" x14ac:dyDescent="0.3">
      <c r="A118" s="7" t="s">
        <v>205</v>
      </c>
      <c r="B118" s="48" t="s">
        <v>206</v>
      </c>
      <c r="C118" s="88"/>
      <c r="D118" s="88"/>
      <c r="E118" s="88"/>
      <c r="F118" s="88"/>
      <c r="G118" s="88"/>
      <c r="H118" s="9"/>
      <c r="I118" s="9"/>
    </row>
    <row r="119" spans="1:9" ht="15.75" customHeight="1" x14ac:dyDescent="0.3">
      <c r="A119" s="7" t="s">
        <v>207</v>
      </c>
      <c r="B119" s="48" t="s">
        <v>208</v>
      </c>
      <c r="C119" s="88"/>
      <c r="D119" s="88"/>
      <c r="E119" s="88"/>
      <c r="F119" s="88"/>
      <c r="G119" s="88"/>
      <c r="H119" s="9"/>
      <c r="I119" s="9"/>
    </row>
    <row r="120" spans="1:9" ht="15.75" customHeight="1" x14ac:dyDescent="0.3">
      <c r="A120" s="7" t="s">
        <v>209</v>
      </c>
      <c r="B120" s="48" t="s">
        <v>210</v>
      </c>
      <c r="C120" s="88"/>
      <c r="D120" s="88"/>
      <c r="E120" s="88"/>
      <c r="F120" s="88"/>
      <c r="G120" s="88"/>
      <c r="H120" s="9"/>
      <c r="I120" s="9"/>
    </row>
    <row r="121" spans="1:9" ht="15.75" customHeight="1" x14ac:dyDescent="0.3">
      <c r="A121" s="7" t="s">
        <v>211</v>
      </c>
      <c r="B121" s="47" t="s">
        <v>212</v>
      </c>
      <c r="C121" s="88">
        <v>32000</v>
      </c>
      <c r="D121" s="88">
        <v>-2000</v>
      </c>
      <c r="E121" s="88"/>
      <c r="F121" s="88"/>
      <c r="G121" s="86">
        <f t="shared" ref="G121:G123" si="36">C121+D121+E121+F121</f>
        <v>30000</v>
      </c>
      <c r="H121" s="9">
        <v>29500</v>
      </c>
      <c r="I121" s="9">
        <v>32470.2</v>
      </c>
    </row>
    <row r="122" spans="1:9" ht="15.75" customHeight="1" x14ac:dyDescent="0.3">
      <c r="A122" s="7" t="s">
        <v>213</v>
      </c>
      <c r="B122" s="47" t="s">
        <v>214</v>
      </c>
      <c r="C122" s="88">
        <v>35120</v>
      </c>
      <c r="D122" s="88"/>
      <c r="E122" s="88"/>
      <c r="F122" s="88">
        <v>2000</v>
      </c>
      <c r="G122" s="86">
        <f t="shared" si="36"/>
        <v>37120</v>
      </c>
      <c r="H122" s="9">
        <v>35120</v>
      </c>
      <c r="I122" s="9">
        <v>34815.15</v>
      </c>
    </row>
    <row r="123" spans="1:9" ht="15.75" customHeight="1" x14ac:dyDescent="0.3">
      <c r="A123" s="7" t="s">
        <v>215</v>
      </c>
      <c r="B123" s="47" t="s">
        <v>216</v>
      </c>
      <c r="C123" s="88">
        <v>35200</v>
      </c>
      <c r="D123" s="88">
        <v>-2500</v>
      </c>
      <c r="E123" s="88"/>
      <c r="F123" s="88"/>
      <c r="G123" s="86">
        <f t="shared" si="36"/>
        <v>32700</v>
      </c>
      <c r="H123" s="9">
        <v>30200</v>
      </c>
      <c r="I123" s="9">
        <v>29519.16</v>
      </c>
    </row>
    <row r="124" spans="1:9" ht="15.75" customHeight="1" thickBot="1" x14ac:dyDescent="0.35">
      <c r="A124" s="10"/>
      <c r="B124" s="49"/>
      <c r="C124" s="89"/>
      <c r="D124" s="89"/>
      <c r="E124" s="89"/>
      <c r="F124" s="89"/>
      <c r="G124" s="89"/>
      <c r="H124" s="16"/>
      <c r="I124" s="16"/>
    </row>
    <row r="125" spans="1:9" ht="15.75" customHeight="1" thickBot="1" x14ac:dyDescent="0.35">
      <c r="A125" s="5" t="s">
        <v>217</v>
      </c>
      <c r="B125" s="5" t="s">
        <v>218</v>
      </c>
      <c r="C125" s="96">
        <f t="shared" ref="C125:H125" si="37">SUM(C126:C137)</f>
        <v>6458416</v>
      </c>
      <c r="D125" s="96">
        <f t="shared" si="37"/>
        <v>-58935</v>
      </c>
      <c r="E125" s="96">
        <f t="shared" si="37"/>
        <v>0</v>
      </c>
      <c r="F125" s="96">
        <f t="shared" si="37"/>
        <v>0</v>
      </c>
      <c r="G125" s="96">
        <f t="shared" si="37"/>
        <v>6399481</v>
      </c>
      <c r="H125" s="24">
        <f t="shared" si="37"/>
        <v>5021563.5999999996</v>
      </c>
      <c r="I125" s="24">
        <f>SUM(I126:I137)</f>
        <v>5604393.9800000004</v>
      </c>
    </row>
    <row r="126" spans="1:9" ht="15.75" customHeight="1" x14ac:dyDescent="0.3">
      <c r="A126" s="6" t="s">
        <v>219</v>
      </c>
      <c r="B126" s="57" t="s">
        <v>220</v>
      </c>
      <c r="C126" s="94">
        <v>1705765</v>
      </c>
      <c r="D126" s="94">
        <v>-19310</v>
      </c>
      <c r="E126" s="94"/>
      <c r="F126" s="94"/>
      <c r="G126" s="86">
        <f t="shared" ref="G126:G127" si="38">C126+D126+E126+F126</f>
        <v>1686455</v>
      </c>
      <c r="H126" s="13">
        <f>1424571+2500</f>
        <v>1427071</v>
      </c>
      <c r="I126" s="13">
        <v>1301131.94</v>
      </c>
    </row>
    <row r="127" spans="1:9" ht="15.75" customHeight="1" x14ac:dyDescent="0.3">
      <c r="A127" s="19" t="s">
        <v>221</v>
      </c>
      <c r="B127" s="64" t="s">
        <v>222</v>
      </c>
      <c r="C127" s="88">
        <v>4228095</v>
      </c>
      <c r="D127" s="88">
        <v>-54140</v>
      </c>
      <c r="E127" s="88"/>
      <c r="F127" s="88"/>
      <c r="G127" s="86">
        <f t="shared" si="38"/>
        <v>4173955</v>
      </c>
      <c r="H127" s="9">
        <f>2761223.8+161483+76156.8</f>
        <v>2998863.5999999996</v>
      </c>
      <c r="I127" s="9">
        <f>2521026.5+147878.33+1118241.37</f>
        <v>3787146.2</v>
      </c>
    </row>
    <row r="128" spans="1:9" ht="15.75" customHeight="1" x14ac:dyDescent="0.3">
      <c r="A128" s="19" t="s">
        <v>223</v>
      </c>
      <c r="B128" s="47" t="s">
        <v>224</v>
      </c>
      <c r="C128" s="88"/>
      <c r="D128" s="88"/>
      <c r="E128" s="88"/>
      <c r="F128" s="88"/>
      <c r="G128" s="88"/>
      <c r="H128" s="9"/>
      <c r="I128" s="9"/>
    </row>
    <row r="129" spans="1:9" ht="15.75" customHeight="1" x14ac:dyDescent="0.3">
      <c r="A129" s="7" t="s">
        <v>225</v>
      </c>
      <c r="B129" s="47" t="s">
        <v>226</v>
      </c>
      <c r="C129" s="88"/>
      <c r="D129" s="88"/>
      <c r="E129" s="88"/>
      <c r="F129" s="88"/>
      <c r="G129" s="88"/>
      <c r="H129" s="9"/>
      <c r="I129" s="9"/>
    </row>
    <row r="130" spans="1:9" ht="15.75" customHeight="1" x14ac:dyDescent="0.3">
      <c r="A130" s="7" t="s">
        <v>227</v>
      </c>
      <c r="B130" s="47" t="s">
        <v>228</v>
      </c>
      <c r="C130" s="88"/>
      <c r="D130" s="88"/>
      <c r="E130" s="88"/>
      <c r="F130" s="88"/>
      <c r="G130" s="88"/>
      <c r="H130" s="9"/>
      <c r="I130" s="9"/>
    </row>
    <row r="131" spans="1:9" ht="15.75" customHeight="1" x14ac:dyDescent="0.3">
      <c r="A131" s="7" t="s">
        <v>229</v>
      </c>
      <c r="B131" s="47" t="s">
        <v>230</v>
      </c>
      <c r="C131" s="88">
        <v>332890</v>
      </c>
      <c r="D131" s="88">
        <v>15515</v>
      </c>
      <c r="E131" s="88"/>
      <c r="F131" s="88"/>
      <c r="G131" s="86">
        <f t="shared" ref="G131:G135" si="39">C131+D131+E131+F131</f>
        <v>348405</v>
      </c>
      <c r="H131" s="9">
        <v>404362</v>
      </c>
      <c r="I131" s="9">
        <v>340765.43</v>
      </c>
    </row>
    <row r="132" spans="1:9" ht="15.75" customHeight="1" x14ac:dyDescent="0.3">
      <c r="A132" s="7" t="s">
        <v>231</v>
      </c>
      <c r="B132" s="47" t="s">
        <v>232</v>
      </c>
      <c r="C132" s="88">
        <v>3000</v>
      </c>
      <c r="D132" s="88">
        <v>-1000</v>
      </c>
      <c r="E132" s="88"/>
      <c r="F132" s="88"/>
      <c r="G132" s="86">
        <f t="shared" si="39"/>
        <v>2000</v>
      </c>
      <c r="H132" s="9">
        <v>1000</v>
      </c>
      <c r="I132" s="9">
        <v>776.5</v>
      </c>
    </row>
    <row r="133" spans="1:9" ht="15.75" customHeight="1" x14ac:dyDescent="0.3">
      <c r="A133" s="7" t="s">
        <v>233</v>
      </c>
      <c r="B133" s="47" t="s">
        <v>234</v>
      </c>
      <c r="C133" s="88">
        <v>157685</v>
      </c>
      <c r="D133" s="88"/>
      <c r="E133" s="88"/>
      <c r="F133" s="88"/>
      <c r="G133" s="86">
        <f t="shared" si="39"/>
        <v>157685</v>
      </c>
      <c r="H133" s="9">
        <v>149318</v>
      </c>
      <c r="I133" s="9">
        <v>119785.28</v>
      </c>
    </row>
    <row r="134" spans="1:9" ht="15.75" customHeight="1" x14ac:dyDescent="0.3">
      <c r="A134" s="7" t="s">
        <v>235</v>
      </c>
      <c r="B134" s="47" t="s">
        <v>236</v>
      </c>
      <c r="C134" s="88">
        <v>26981</v>
      </c>
      <c r="D134" s="88"/>
      <c r="E134" s="88"/>
      <c r="F134" s="88"/>
      <c r="G134" s="86">
        <f t="shared" si="39"/>
        <v>26981</v>
      </c>
      <c r="H134" s="9">
        <v>37449</v>
      </c>
      <c r="I134" s="9">
        <v>29081.93</v>
      </c>
    </row>
    <row r="135" spans="1:9" ht="15.75" customHeight="1" x14ac:dyDescent="0.3">
      <c r="A135" s="7" t="s">
        <v>237</v>
      </c>
      <c r="B135" s="47" t="s">
        <v>238</v>
      </c>
      <c r="C135" s="88">
        <v>4000</v>
      </c>
      <c r="D135" s="88"/>
      <c r="E135" s="88"/>
      <c r="F135" s="88"/>
      <c r="G135" s="86">
        <f t="shared" si="39"/>
        <v>4000</v>
      </c>
      <c r="H135" s="9">
        <v>3500</v>
      </c>
      <c r="I135" s="9">
        <v>25706.7</v>
      </c>
    </row>
    <row r="136" spans="1:9" ht="15.75" customHeight="1" x14ac:dyDescent="0.3">
      <c r="A136" s="7" t="s">
        <v>239</v>
      </c>
      <c r="B136" s="47" t="s">
        <v>240</v>
      </c>
      <c r="C136" s="88"/>
      <c r="D136" s="88"/>
      <c r="E136" s="88"/>
      <c r="F136" s="88"/>
      <c r="G136" s="88"/>
      <c r="H136" s="9"/>
      <c r="I136" s="9"/>
    </row>
    <row r="137" spans="1:9" ht="15.75" customHeight="1" thickBot="1" x14ac:dyDescent="0.35">
      <c r="A137" s="10"/>
      <c r="B137" s="58" t="s">
        <v>241</v>
      </c>
      <c r="C137" s="89"/>
      <c r="D137" s="89"/>
      <c r="E137" s="89"/>
      <c r="F137" s="89"/>
      <c r="G137" s="89"/>
      <c r="H137" s="16"/>
      <c r="I137" s="16"/>
    </row>
    <row r="138" spans="1:9" ht="15.75" customHeight="1" thickBot="1" x14ac:dyDescent="0.35">
      <c r="A138" s="5" t="s">
        <v>242</v>
      </c>
      <c r="B138" s="12" t="s">
        <v>243</v>
      </c>
      <c r="C138" s="96">
        <f t="shared" ref="C138:H138" si="40">SUM(C139:C153)</f>
        <v>1266324</v>
      </c>
      <c r="D138" s="96">
        <f t="shared" si="40"/>
        <v>171361</v>
      </c>
      <c r="E138" s="96">
        <f t="shared" si="40"/>
        <v>0</v>
      </c>
      <c r="F138" s="96">
        <f t="shared" si="40"/>
        <v>0</v>
      </c>
      <c r="G138" s="96">
        <f t="shared" si="40"/>
        <v>1437685</v>
      </c>
      <c r="H138" s="24">
        <f t="shared" si="40"/>
        <v>1462923.8900000001</v>
      </c>
      <c r="I138" s="24">
        <f>SUM(I139:I153)</f>
        <v>1057817.23</v>
      </c>
    </row>
    <row r="139" spans="1:9" ht="15.75" customHeight="1" x14ac:dyDescent="0.3">
      <c r="A139" s="6" t="s">
        <v>244</v>
      </c>
      <c r="B139" s="57" t="s">
        <v>245</v>
      </c>
      <c r="C139" s="94">
        <v>6500</v>
      </c>
      <c r="D139" s="94"/>
      <c r="E139" s="94"/>
      <c r="F139" s="94"/>
      <c r="G139" s="86">
        <f>C139+D139+E139+F139</f>
        <v>6500</v>
      </c>
      <c r="H139" s="13">
        <v>6250</v>
      </c>
      <c r="I139" s="13">
        <v>5891.3</v>
      </c>
    </row>
    <row r="140" spans="1:9" ht="15.75" customHeight="1" x14ac:dyDescent="0.3">
      <c r="A140" s="7" t="s">
        <v>246</v>
      </c>
      <c r="B140" s="47" t="s">
        <v>247</v>
      </c>
      <c r="C140" s="88"/>
      <c r="D140" s="88"/>
      <c r="E140" s="88"/>
      <c r="F140" s="88"/>
      <c r="G140" s="88"/>
      <c r="H140" s="9"/>
      <c r="I140" s="9"/>
    </row>
    <row r="141" spans="1:9" ht="15.75" customHeight="1" x14ac:dyDescent="0.3">
      <c r="A141" s="7" t="s">
        <v>248</v>
      </c>
      <c r="B141" s="47" t="s">
        <v>249</v>
      </c>
      <c r="C141" s="88">
        <v>116220</v>
      </c>
      <c r="D141" s="88">
        <v>-12690</v>
      </c>
      <c r="E141" s="88"/>
      <c r="F141" s="88"/>
      <c r="G141" s="86">
        <f t="shared" ref="G141:G143" si="41">C141+D141+E141+F141</f>
        <v>103530</v>
      </c>
      <c r="H141" s="9">
        <v>113607</v>
      </c>
      <c r="I141" s="9">
        <v>167397.57999999999</v>
      </c>
    </row>
    <row r="142" spans="1:9" ht="15.75" customHeight="1" x14ac:dyDescent="0.3">
      <c r="A142" s="7" t="s">
        <v>250</v>
      </c>
      <c r="B142" s="47" t="s">
        <v>251</v>
      </c>
      <c r="C142" s="88">
        <v>200000</v>
      </c>
      <c r="D142" s="88">
        <v>213983</v>
      </c>
      <c r="E142" s="88"/>
      <c r="F142" s="88"/>
      <c r="G142" s="86">
        <f t="shared" si="41"/>
        <v>413983</v>
      </c>
      <c r="H142" s="9">
        <v>225000</v>
      </c>
      <c r="I142" s="9">
        <v>208761.03</v>
      </c>
    </row>
    <row r="143" spans="1:9" ht="15.75" customHeight="1" x14ac:dyDescent="0.3">
      <c r="A143" s="7" t="s">
        <v>252</v>
      </c>
      <c r="B143" s="47" t="s">
        <v>253</v>
      </c>
      <c r="C143" s="88">
        <v>136361</v>
      </c>
      <c r="D143" s="88"/>
      <c r="E143" s="88"/>
      <c r="F143" s="88"/>
      <c r="G143" s="86">
        <f t="shared" si="41"/>
        <v>136361</v>
      </c>
      <c r="H143" s="9">
        <v>122388.11</v>
      </c>
      <c r="I143" s="9">
        <v>112730.57</v>
      </c>
    </row>
    <row r="144" spans="1:9" ht="15.75" customHeight="1" x14ac:dyDescent="0.3">
      <c r="A144" s="7" t="s">
        <v>254</v>
      </c>
      <c r="B144" s="47" t="s">
        <v>255</v>
      </c>
      <c r="C144" s="88"/>
      <c r="D144" s="88"/>
      <c r="E144" s="88"/>
      <c r="F144" s="88"/>
      <c r="G144" s="88"/>
      <c r="H144" s="9"/>
      <c r="I144" s="9"/>
    </row>
    <row r="145" spans="1:9" ht="15.75" customHeight="1" x14ac:dyDescent="0.3">
      <c r="A145" s="7" t="s">
        <v>256</v>
      </c>
      <c r="B145" s="47" t="s">
        <v>257</v>
      </c>
      <c r="C145" s="88">
        <v>100000</v>
      </c>
      <c r="D145" s="88">
        <v>-37020</v>
      </c>
      <c r="E145" s="88"/>
      <c r="F145" s="88"/>
      <c r="G145" s="86">
        <f t="shared" ref="G145:G146" si="42">C145+D145+E145+F145</f>
        <v>62980</v>
      </c>
      <c r="H145" s="9">
        <v>129000</v>
      </c>
      <c r="I145" s="9">
        <v>133041.09</v>
      </c>
    </row>
    <row r="146" spans="1:9" ht="15.75" customHeight="1" x14ac:dyDescent="0.3">
      <c r="A146" s="7" t="s">
        <v>258</v>
      </c>
      <c r="B146" s="47" t="s">
        <v>259</v>
      </c>
      <c r="C146" s="88">
        <v>112838</v>
      </c>
      <c r="D146" s="88">
        <v>-12500</v>
      </c>
      <c r="E146" s="88"/>
      <c r="F146" s="88"/>
      <c r="G146" s="86">
        <f t="shared" si="42"/>
        <v>100338</v>
      </c>
      <c r="H146" s="9">
        <v>190446.78</v>
      </c>
      <c r="I146" s="9">
        <v>97834.67</v>
      </c>
    </row>
    <row r="147" spans="1:9" ht="15.75" customHeight="1" x14ac:dyDescent="0.3">
      <c r="A147" s="7" t="s">
        <v>260</v>
      </c>
      <c r="B147" s="47" t="s">
        <v>261</v>
      </c>
      <c r="C147" s="88"/>
      <c r="D147" s="88"/>
      <c r="E147" s="88"/>
      <c r="F147" s="88"/>
      <c r="G147" s="88"/>
      <c r="H147" s="9"/>
      <c r="I147" s="9"/>
    </row>
    <row r="148" spans="1:9" ht="15.75" customHeight="1" x14ac:dyDescent="0.3">
      <c r="A148" s="7" t="s">
        <v>262</v>
      </c>
      <c r="B148" s="47" t="s">
        <v>263</v>
      </c>
      <c r="C148" s="88">
        <v>13800</v>
      </c>
      <c r="D148" s="88">
        <v>-2500</v>
      </c>
      <c r="E148" s="88"/>
      <c r="F148" s="88"/>
      <c r="G148" s="86">
        <f>C148+D148+E148+F148</f>
        <v>11300</v>
      </c>
      <c r="H148" s="9">
        <v>10500</v>
      </c>
      <c r="I148" s="9">
        <v>9169.26</v>
      </c>
    </row>
    <row r="149" spans="1:9" ht="15.75" customHeight="1" x14ac:dyDescent="0.3">
      <c r="A149" s="7" t="s">
        <v>264</v>
      </c>
      <c r="B149" s="47" t="s">
        <v>265</v>
      </c>
      <c r="C149" s="88"/>
      <c r="D149" s="88"/>
      <c r="E149" s="88"/>
      <c r="F149" s="88"/>
      <c r="G149" s="88"/>
      <c r="H149" s="9"/>
      <c r="I149" s="9"/>
    </row>
    <row r="150" spans="1:9" ht="15.75" customHeight="1" x14ac:dyDescent="0.3">
      <c r="A150" s="7" t="s">
        <v>266</v>
      </c>
      <c r="B150" s="47" t="s">
        <v>267</v>
      </c>
      <c r="C150" s="88">
        <v>300000</v>
      </c>
      <c r="D150" s="88">
        <v>25988</v>
      </c>
      <c r="E150" s="88"/>
      <c r="F150" s="88"/>
      <c r="G150" s="86">
        <f t="shared" ref="G150:G152" si="43">C150+D150+E150+F150</f>
        <v>325988</v>
      </c>
      <c r="H150" s="9">
        <v>338198</v>
      </c>
      <c r="I150" s="9">
        <v>90230.42</v>
      </c>
    </row>
    <row r="151" spans="1:9" ht="15.75" customHeight="1" x14ac:dyDescent="0.3">
      <c r="A151" s="7" t="s">
        <v>268</v>
      </c>
      <c r="B151" s="47" t="s">
        <v>269</v>
      </c>
      <c r="C151" s="88">
        <v>7640</v>
      </c>
      <c r="D151" s="88"/>
      <c r="E151" s="88"/>
      <c r="F151" s="88"/>
      <c r="G151" s="86">
        <f t="shared" si="43"/>
        <v>7640</v>
      </c>
      <c r="H151" s="9">
        <v>43250</v>
      </c>
      <c r="I151" s="9">
        <v>26269.75</v>
      </c>
    </row>
    <row r="152" spans="1:9" ht="15.75" customHeight="1" x14ac:dyDescent="0.3">
      <c r="A152" s="7" t="s">
        <v>270</v>
      </c>
      <c r="B152" s="47" t="s">
        <v>271</v>
      </c>
      <c r="C152" s="88">
        <v>272965</v>
      </c>
      <c r="D152" s="88">
        <v>-3900</v>
      </c>
      <c r="E152" s="88"/>
      <c r="F152" s="88"/>
      <c r="G152" s="86">
        <f t="shared" si="43"/>
        <v>269065</v>
      </c>
      <c r="H152" s="9">
        <v>284284</v>
      </c>
      <c r="I152" s="9">
        <v>206491.56</v>
      </c>
    </row>
    <row r="153" spans="1:9" ht="15.75" customHeight="1" thickBot="1" x14ac:dyDescent="0.35">
      <c r="A153" s="33"/>
      <c r="B153" s="65" t="s">
        <v>272</v>
      </c>
      <c r="C153" s="106"/>
      <c r="D153" s="106"/>
      <c r="E153" s="106"/>
      <c r="F153" s="106"/>
      <c r="G153" s="106"/>
      <c r="H153" s="11"/>
      <c r="I153" s="11"/>
    </row>
  </sheetData>
  <conditionalFormatting sqref="C34:G34">
    <cfRule type="cellIs" dxfId="3" priority="3" stopIfTrue="1" operator="lessThan">
      <formula>0</formula>
    </cfRule>
  </conditionalFormatting>
  <conditionalFormatting sqref="H34">
    <cfRule type="cellIs" dxfId="2" priority="2" stopIfTrue="1" operator="lessThan">
      <formula>0</formula>
    </cfRule>
  </conditionalFormatting>
  <conditionalFormatting sqref="I34">
    <cfRule type="cellIs" dxfId="0" priority="1" stopIfTrue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7FC99-AEB4-4B55-8FA0-542F8CB269B9}">
  <dimension ref="A2:J25"/>
  <sheetViews>
    <sheetView zoomScale="115" zoomScaleNormal="115" workbookViewId="0">
      <selection activeCell="E28" sqref="E28"/>
    </sheetView>
  </sheetViews>
  <sheetFormatPr defaultColWidth="8.77734375" defaultRowHeight="13.8" x14ac:dyDescent="0.25"/>
  <cols>
    <col min="1" max="1" width="4" style="79" customWidth="1"/>
    <col min="2" max="2" width="7.44140625" style="68" customWidth="1"/>
    <col min="3" max="3" width="14.21875" style="68" customWidth="1"/>
    <col min="4" max="4" width="5.77734375" style="68" customWidth="1"/>
    <col min="5" max="5" width="16.21875" style="68" customWidth="1"/>
    <col min="6" max="6" width="17.88671875" style="68" customWidth="1"/>
    <col min="7" max="8" width="9.77734375" style="68" customWidth="1"/>
    <col min="9" max="9" width="17.33203125" style="68" customWidth="1"/>
    <col min="10" max="10" width="18.77734375" style="68" customWidth="1"/>
    <col min="11" max="16384" width="8.77734375" style="68"/>
  </cols>
  <sheetData>
    <row r="2" spans="1:10" s="71" customFormat="1" x14ac:dyDescent="0.25">
      <c r="A2" s="79"/>
      <c r="C2" s="71" t="s">
        <v>278</v>
      </c>
    </row>
    <row r="3" spans="1:10" s="71" customFormat="1" ht="41.4" x14ac:dyDescent="0.25">
      <c r="A3" s="80"/>
      <c r="B3" s="72" t="s">
        <v>281</v>
      </c>
      <c r="C3" s="72" t="s">
        <v>279</v>
      </c>
      <c r="D3" s="76" t="s">
        <v>301</v>
      </c>
      <c r="E3" s="72" t="s">
        <v>302</v>
      </c>
      <c r="F3" s="72" t="s">
        <v>314</v>
      </c>
      <c r="G3" s="72" t="s">
        <v>299</v>
      </c>
      <c r="H3" s="76" t="s">
        <v>303</v>
      </c>
      <c r="I3" s="76" t="s">
        <v>309</v>
      </c>
      <c r="J3" s="72" t="s">
        <v>288</v>
      </c>
    </row>
    <row r="4" spans="1:10" ht="82.8" x14ac:dyDescent="0.25">
      <c r="A4" s="80">
        <v>1</v>
      </c>
      <c r="B4" s="73" t="s">
        <v>89</v>
      </c>
      <c r="C4" s="74" t="s">
        <v>280</v>
      </c>
      <c r="D4" s="74">
        <v>50</v>
      </c>
      <c r="E4" s="75" t="s">
        <v>282</v>
      </c>
      <c r="F4" s="75" t="s">
        <v>325</v>
      </c>
      <c r="G4" s="81">
        <v>-26500</v>
      </c>
      <c r="H4" s="81"/>
      <c r="I4" s="75" t="s">
        <v>300</v>
      </c>
      <c r="J4" s="74"/>
    </row>
    <row r="5" spans="1:10" ht="27.6" x14ac:dyDescent="0.25">
      <c r="A5" s="80">
        <v>2</v>
      </c>
      <c r="B5" s="73" t="s">
        <v>91</v>
      </c>
      <c r="C5" s="74" t="s">
        <v>283</v>
      </c>
      <c r="D5" s="74">
        <v>55</v>
      </c>
      <c r="E5" s="75" t="s">
        <v>284</v>
      </c>
      <c r="F5" s="75" t="s">
        <v>320</v>
      </c>
      <c r="G5" s="81">
        <v>-3500</v>
      </c>
      <c r="H5" s="81">
        <v>0</v>
      </c>
      <c r="I5" s="75" t="s">
        <v>298</v>
      </c>
      <c r="J5" s="75" t="s">
        <v>297</v>
      </c>
    </row>
    <row r="6" spans="1:10" ht="82.5" customHeight="1" x14ac:dyDescent="0.25">
      <c r="A6" s="80">
        <v>3</v>
      </c>
      <c r="B6" s="73" t="s">
        <v>93</v>
      </c>
      <c r="C6" s="74" t="s">
        <v>94</v>
      </c>
      <c r="D6" s="74">
        <v>69</v>
      </c>
      <c r="E6" s="75"/>
      <c r="F6" s="74"/>
      <c r="G6" s="81"/>
      <c r="H6" s="81">
        <v>20000</v>
      </c>
      <c r="I6" s="75" t="s">
        <v>308</v>
      </c>
      <c r="J6" s="75"/>
    </row>
    <row r="7" spans="1:10" ht="41.4" x14ac:dyDescent="0.25">
      <c r="A7" s="80">
        <v>4</v>
      </c>
      <c r="B7" s="73" t="s">
        <v>95</v>
      </c>
      <c r="C7" s="75" t="s">
        <v>285</v>
      </c>
      <c r="D7" s="74">
        <v>45</v>
      </c>
      <c r="E7" s="75" t="s">
        <v>290</v>
      </c>
      <c r="F7" s="75" t="s">
        <v>305</v>
      </c>
      <c r="G7" s="81">
        <v>30000</v>
      </c>
      <c r="H7" s="81">
        <v>0</v>
      </c>
      <c r="I7" s="74" t="s">
        <v>321</v>
      </c>
      <c r="J7" s="74"/>
    </row>
    <row r="8" spans="1:10" ht="55.2" x14ac:dyDescent="0.25">
      <c r="A8" s="80">
        <v>5</v>
      </c>
      <c r="B8" s="73" t="s">
        <v>95</v>
      </c>
      <c r="C8" s="75" t="s">
        <v>285</v>
      </c>
      <c r="D8" s="74">
        <v>45</v>
      </c>
      <c r="E8" s="75" t="s">
        <v>291</v>
      </c>
      <c r="F8" s="75" t="s">
        <v>304</v>
      </c>
      <c r="G8" s="81">
        <v>-100000</v>
      </c>
      <c r="H8" s="81">
        <v>-20000</v>
      </c>
      <c r="I8" s="75" t="s">
        <v>307</v>
      </c>
      <c r="J8" s="74"/>
    </row>
    <row r="9" spans="1:10" ht="27.6" x14ac:dyDescent="0.25">
      <c r="A9" s="80">
        <v>6</v>
      </c>
      <c r="B9" s="73" t="s">
        <v>139</v>
      </c>
      <c r="C9" s="74" t="s">
        <v>287</v>
      </c>
      <c r="D9" s="74">
        <v>15</v>
      </c>
      <c r="E9" s="75" t="s">
        <v>286</v>
      </c>
      <c r="F9" s="75" t="s">
        <v>315</v>
      </c>
      <c r="G9" s="81">
        <v>30000</v>
      </c>
      <c r="H9" s="81">
        <v>0</v>
      </c>
      <c r="I9" s="74" t="s">
        <v>321</v>
      </c>
      <c r="J9" s="74"/>
    </row>
    <row r="10" spans="1:10" ht="41.4" x14ac:dyDescent="0.25">
      <c r="A10" s="80">
        <v>7</v>
      </c>
      <c r="B10" s="73" t="s">
        <v>154</v>
      </c>
      <c r="C10" s="75" t="s">
        <v>289</v>
      </c>
      <c r="D10" s="74">
        <v>55</v>
      </c>
      <c r="E10" s="75" t="s">
        <v>284</v>
      </c>
      <c r="F10" s="75" t="s">
        <v>319</v>
      </c>
      <c r="G10" s="81">
        <v>-13000</v>
      </c>
      <c r="H10" s="81">
        <v>0</v>
      </c>
      <c r="I10" s="75" t="s">
        <v>298</v>
      </c>
      <c r="J10" s="75" t="s">
        <v>297</v>
      </c>
    </row>
    <row r="11" spans="1:10" ht="55.2" x14ac:dyDescent="0.25">
      <c r="A11" s="80">
        <v>8</v>
      </c>
      <c r="B11" s="73" t="s">
        <v>231</v>
      </c>
      <c r="C11" s="74" t="s">
        <v>232</v>
      </c>
      <c r="D11" s="74">
        <v>45</v>
      </c>
      <c r="E11" s="75" t="s">
        <v>290</v>
      </c>
      <c r="F11" s="75" t="s">
        <v>318</v>
      </c>
      <c r="G11" s="81">
        <v>3000</v>
      </c>
      <c r="H11" s="81">
        <v>0</v>
      </c>
      <c r="I11" s="75" t="s">
        <v>306</v>
      </c>
      <c r="J11" s="74"/>
    </row>
    <row r="12" spans="1:10" ht="41.55" customHeight="1" x14ac:dyDescent="0.25">
      <c r="A12" s="80">
        <v>9</v>
      </c>
      <c r="B12" s="73" t="s">
        <v>235</v>
      </c>
      <c r="C12" s="74" t="s">
        <v>236</v>
      </c>
      <c r="D12" s="74">
        <v>55</v>
      </c>
      <c r="E12" s="75" t="s">
        <v>284</v>
      </c>
      <c r="F12" s="75" t="s">
        <v>318</v>
      </c>
      <c r="G12" s="81">
        <v>10000</v>
      </c>
      <c r="H12" s="81">
        <v>0</v>
      </c>
      <c r="I12" s="75" t="s">
        <v>306</v>
      </c>
      <c r="J12" s="75" t="s">
        <v>292</v>
      </c>
    </row>
    <row r="13" spans="1:10" ht="41.55" customHeight="1" x14ac:dyDescent="0.25">
      <c r="B13" s="69"/>
      <c r="E13" s="83"/>
      <c r="F13" s="83"/>
      <c r="G13" s="84"/>
      <c r="H13" s="84"/>
      <c r="I13" s="83"/>
      <c r="J13" s="83"/>
    </row>
    <row r="14" spans="1:10" ht="41.55" customHeight="1" x14ac:dyDescent="0.25">
      <c r="B14" s="69"/>
      <c r="E14" s="83"/>
      <c r="F14" s="83"/>
      <c r="G14" s="84"/>
      <c r="H14" s="84"/>
      <c r="I14" s="83"/>
      <c r="J14" s="83"/>
    </row>
    <row r="15" spans="1:10" ht="41.55" customHeight="1" x14ac:dyDescent="0.25">
      <c r="B15" s="69"/>
      <c r="E15" s="83"/>
      <c r="F15" s="83"/>
      <c r="G15" s="84"/>
      <c r="H15" s="84"/>
      <c r="I15" s="83"/>
      <c r="J15" s="83"/>
    </row>
    <row r="16" spans="1:10" x14ac:dyDescent="0.25">
      <c r="B16" s="69"/>
      <c r="G16" s="70"/>
      <c r="H16" s="70"/>
    </row>
    <row r="17" spans="1:10" x14ac:dyDescent="0.25">
      <c r="B17" s="69"/>
      <c r="C17" s="71" t="s">
        <v>293</v>
      </c>
      <c r="G17" s="70"/>
      <c r="H17" s="70"/>
    </row>
    <row r="18" spans="1:10" ht="41.4" x14ac:dyDescent="0.25">
      <c r="A18" s="80">
        <v>1</v>
      </c>
      <c r="B18" s="72" t="s">
        <v>281</v>
      </c>
      <c r="C18" s="72" t="s">
        <v>279</v>
      </c>
      <c r="D18" s="76" t="s">
        <v>301</v>
      </c>
      <c r="E18" s="72" t="s">
        <v>302</v>
      </c>
      <c r="F18" s="72" t="s">
        <v>314</v>
      </c>
      <c r="G18" s="72" t="s">
        <v>299</v>
      </c>
      <c r="H18" s="76" t="s">
        <v>303</v>
      </c>
      <c r="I18" s="76" t="s">
        <v>309</v>
      </c>
      <c r="J18" s="78" t="s">
        <v>288</v>
      </c>
    </row>
    <row r="19" spans="1:10" ht="69" x14ac:dyDescent="0.25">
      <c r="A19" s="80">
        <v>2</v>
      </c>
      <c r="B19" s="73" t="s">
        <v>139</v>
      </c>
      <c r="C19" s="75" t="s">
        <v>287</v>
      </c>
      <c r="D19" s="74">
        <v>15</v>
      </c>
      <c r="E19" s="74" t="s">
        <v>286</v>
      </c>
      <c r="F19" s="75" t="s">
        <v>322</v>
      </c>
      <c r="G19" s="81">
        <v>-25000</v>
      </c>
      <c r="H19" s="81">
        <v>0</v>
      </c>
      <c r="I19" s="75" t="s">
        <v>311</v>
      </c>
      <c r="J19" s="75" t="s">
        <v>313</v>
      </c>
    </row>
    <row r="20" spans="1:10" ht="69" x14ac:dyDescent="0.25">
      <c r="A20" s="80">
        <v>3</v>
      </c>
      <c r="B20" s="73" t="s">
        <v>154</v>
      </c>
      <c r="C20" s="75" t="s">
        <v>289</v>
      </c>
      <c r="D20" s="74">
        <v>15</v>
      </c>
      <c r="E20" s="74" t="s">
        <v>286</v>
      </c>
      <c r="F20" s="77" t="s">
        <v>310</v>
      </c>
      <c r="G20" s="82">
        <v>-15000</v>
      </c>
      <c r="H20" s="82">
        <v>0</v>
      </c>
      <c r="I20" s="77"/>
      <c r="J20" s="77" t="s">
        <v>312</v>
      </c>
    </row>
    <row r="21" spans="1:10" ht="55.2" x14ac:dyDescent="0.25">
      <c r="A21" s="80">
        <v>4</v>
      </c>
      <c r="B21" s="73" t="s">
        <v>154</v>
      </c>
      <c r="C21" s="75" t="s">
        <v>289</v>
      </c>
      <c r="D21" s="74">
        <v>55</v>
      </c>
      <c r="E21" s="74" t="s">
        <v>294</v>
      </c>
      <c r="F21" s="75" t="s">
        <v>295</v>
      </c>
      <c r="G21" s="81">
        <v>40000</v>
      </c>
      <c r="H21" s="81">
        <v>0</v>
      </c>
      <c r="I21" s="75" t="s">
        <v>323</v>
      </c>
      <c r="J21" s="75" t="s">
        <v>324</v>
      </c>
    </row>
    <row r="22" spans="1:10" ht="41.4" x14ac:dyDescent="0.25">
      <c r="A22" s="80">
        <v>5</v>
      </c>
      <c r="B22" s="73" t="s">
        <v>191</v>
      </c>
      <c r="C22" s="75" t="s">
        <v>192</v>
      </c>
      <c r="D22" s="74">
        <v>45</v>
      </c>
      <c r="E22" s="75" t="s">
        <v>290</v>
      </c>
      <c r="F22" s="75" t="s">
        <v>316</v>
      </c>
      <c r="G22" s="81">
        <v>-2000</v>
      </c>
      <c r="H22" s="81">
        <v>-2000</v>
      </c>
      <c r="I22" s="75"/>
      <c r="J22" s="75"/>
    </row>
    <row r="23" spans="1:10" ht="41.4" x14ac:dyDescent="0.25">
      <c r="A23" s="80">
        <v>6</v>
      </c>
      <c r="B23" s="73" t="s">
        <v>213</v>
      </c>
      <c r="C23" s="75" t="s">
        <v>296</v>
      </c>
      <c r="D23" s="74">
        <v>45</v>
      </c>
      <c r="E23" s="75" t="s">
        <v>290</v>
      </c>
      <c r="F23" s="75" t="s">
        <v>317</v>
      </c>
      <c r="G23" s="81">
        <v>2000</v>
      </c>
      <c r="H23" s="81">
        <v>2000</v>
      </c>
      <c r="I23" s="74"/>
      <c r="J23" s="74"/>
    </row>
    <row r="24" spans="1:10" x14ac:dyDescent="0.25">
      <c r="G24" s="70"/>
      <c r="H24" s="70"/>
    </row>
    <row r="25" spans="1:10" x14ac:dyDescent="0.25">
      <c r="G25" s="70"/>
      <c r="H25" s="70"/>
    </row>
  </sheetData>
  <pageMargins left="0.7" right="0.7" top="0.75" bottom="0.75" header="0.3" footer="0.3"/>
  <pageSetup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516FC73BEDA54B9533E210AA41973A" ma:contentTypeVersion="18" ma:contentTypeDescription="Loo uus dokument" ma:contentTypeScope="" ma:versionID="fc40545eebfe4a0f6cae3efea6f746ec">
  <xsd:schema xmlns:xsd="http://www.w3.org/2001/XMLSchema" xmlns:xs="http://www.w3.org/2001/XMLSchema" xmlns:p="http://schemas.microsoft.com/office/2006/metadata/properties" xmlns:ns2="7e74a2a7-8a7a-4f23-9c15-99ffacc76100" xmlns:ns3="7b6e56b3-91d3-47fd-8cd2-af0196636f46" targetNamespace="http://schemas.microsoft.com/office/2006/metadata/properties" ma:root="true" ma:fieldsID="62be1196cf7d58ab7193e3617da45477" ns2:_="" ns3:_="">
    <xsd:import namespace="7e74a2a7-8a7a-4f23-9c15-99ffacc76100"/>
    <xsd:import namespace="7b6e56b3-91d3-47fd-8cd2-af0196636f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74a2a7-8a7a-4f23-9c15-99ffacc76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Pildisildid" ma:readOnly="false" ma:fieldId="{5cf76f15-5ced-4ddc-b409-7134ff3c332f}" ma:taxonomyMulti="true" ma:sspId="2e7e1319-75c4-490e-96c4-c8a4839e3f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e56b3-91d3-47fd-8cd2-af0196636f4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b1fcad4-45a7-469e-b7f8-0db16ac5e4d8}" ma:internalName="TaxCatchAll" ma:showField="CatchAllData" ma:web="7b6e56b3-91d3-47fd-8cd2-af0196636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E1D31D-E47A-4559-BFAE-D782B77823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74a2a7-8a7a-4f23-9c15-99ffacc76100"/>
    <ds:schemaRef ds:uri="7b6e56b3-91d3-47fd-8cd2-af0196636f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251323-EE1E-4101-8C23-73B2098CFE2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Tabel</vt:lpstr>
      <vt:lpstr>Esitatud ettepanekud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Maire Appo</dc:creator>
  <cp:lastModifiedBy>Maire Appo</cp:lastModifiedBy>
  <cp:lastPrinted>2023-02-08T10:46:45Z</cp:lastPrinted>
  <dcterms:created xsi:type="dcterms:W3CDTF">2022-11-30T16:37:39Z</dcterms:created>
  <dcterms:modified xsi:type="dcterms:W3CDTF">2023-02-08T11:29:46Z</dcterms:modified>
</cp:coreProperties>
</file>