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eAppo\OneDrive - Tõrva Vallavalitsus\Documents\2023 eelarve\Eelarve menetlemine\2.lugemine\"/>
    </mc:Choice>
  </mc:AlternateContent>
  <xr:revisionPtr revIDLastSave="0" documentId="13_ncr:1_{E891141E-CF62-4E07-A43A-9936058BC5D5}" xr6:coauthVersionLast="47" xr6:coauthVersionMax="47" xr10:uidLastSave="{00000000-0000-0000-0000-000000000000}"/>
  <bookViews>
    <workbookView xWindow="-110" yWindow="-110" windowWidth="25820" windowHeight="14020" xr2:uid="{56411AAB-A566-44DB-A0DE-683CB145D9A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15" i="1"/>
  <c r="D17" i="1"/>
  <c r="D18" i="1"/>
  <c r="D32" i="1"/>
  <c r="D31" i="1"/>
  <c r="H152" i="1" l="1"/>
  <c r="H151" i="1"/>
  <c r="H150" i="1"/>
  <c r="H148" i="1"/>
  <c r="H146" i="1"/>
  <c r="H145" i="1"/>
  <c r="H143" i="1"/>
  <c r="H142" i="1"/>
  <c r="H139" i="1"/>
  <c r="H135" i="1"/>
  <c r="H134" i="1"/>
  <c r="H133" i="1"/>
  <c r="H132" i="1"/>
  <c r="H131" i="1"/>
  <c r="H127" i="1"/>
  <c r="H126" i="1"/>
  <c r="H125" i="1"/>
  <c r="H123" i="1"/>
  <c r="H122" i="1"/>
  <c r="H121" i="1"/>
  <c r="H116" i="1"/>
  <c r="H114" i="1"/>
  <c r="H113" i="1"/>
  <c r="H112" i="1"/>
  <c r="H111" i="1"/>
  <c r="H110" i="1"/>
  <c r="H109" i="1"/>
  <c r="H108" i="1"/>
  <c r="H107" i="1"/>
  <c r="H106" i="1"/>
  <c r="H98" i="1"/>
  <c r="H97" i="1"/>
  <c r="H96" i="1"/>
  <c r="H94" i="1"/>
  <c r="H93" i="1"/>
  <c r="H91" i="1"/>
  <c r="H90" i="1"/>
  <c r="H89" i="1"/>
  <c r="H88" i="1"/>
  <c r="H87" i="1"/>
  <c r="H86" i="1"/>
  <c r="H84" i="1"/>
  <c r="H83" i="1"/>
  <c r="H82" i="1"/>
  <c r="H81" i="1"/>
  <c r="H76" i="1"/>
  <c r="H75" i="1"/>
  <c r="H74" i="1"/>
  <c r="H69" i="1"/>
  <c r="H67" i="1"/>
  <c r="H66" i="1"/>
  <c r="H65" i="1"/>
  <c r="H64" i="1"/>
  <c r="H63" i="1"/>
  <c r="H62" i="1"/>
  <c r="H61" i="1"/>
  <c r="H60" i="1"/>
  <c r="H58" i="1"/>
  <c r="H57" i="1"/>
  <c r="H56" i="1"/>
  <c r="H52" i="1"/>
  <c r="H51" i="1"/>
  <c r="H47" i="1"/>
  <c r="H38" i="1"/>
  <c r="H37" i="1"/>
  <c r="H36" i="1"/>
  <c r="H33" i="1"/>
  <c r="H28" i="1"/>
  <c r="H27" i="1"/>
  <c r="H25" i="1"/>
  <c r="H23" i="1"/>
  <c r="H21" i="1"/>
  <c r="H19" i="1"/>
  <c r="H16" i="1"/>
  <c r="H14" i="1"/>
  <c r="H7" i="1"/>
  <c r="H11" i="1"/>
  <c r="H9" i="1"/>
  <c r="H8" i="1"/>
  <c r="C49" i="1"/>
  <c r="E62" i="1"/>
  <c r="E61" i="1"/>
  <c r="E60" i="1"/>
  <c r="G60" i="1" s="1"/>
  <c r="E59" i="1"/>
  <c r="G59" i="1" s="1"/>
  <c r="E58" i="1"/>
  <c r="E57" i="1"/>
  <c r="E32" i="1"/>
  <c r="G32" i="1" s="1"/>
  <c r="G151" i="1"/>
  <c r="G146" i="1"/>
  <c r="G145" i="1"/>
  <c r="G143" i="1"/>
  <c r="G139" i="1"/>
  <c r="G135" i="1"/>
  <c r="G134" i="1"/>
  <c r="G133" i="1"/>
  <c r="G131" i="1"/>
  <c r="G123" i="1"/>
  <c r="G122" i="1"/>
  <c r="G116" i="1"/>
  <c r="G113" i="1"/>
  <c r="G111" i="1"/>
  <c r="G109" i="1"/>
  <c r="G108" i="1"/>
  <c r="G105" i="1"/>
  <c r="G97" i="1"/>
  <c r="G96" i="1"/>
  <c r="G91" i="1"/>
  <c r="G90" i="1"/>
  <c r="G89" i="1"/>
  <c r="G88" i="1"/>
  <c r="G87" i="1"/>
  <c r="G83" i="1"/>
  <c r="G82" i="1"/>
  <c r="G81" i="1"/>
  <c r="G75" i="1"/>
  <c r="G74" i="1"/>
  <c r="G66" i="1"/>
  <c r="G64" i="1"/>
  <c r="G62" i="1"/>
  <c r="G61" i="1"/>
  <c r="G58" i="1"/>
  <c r="G57" i="1"/>
  <c r="G52" i="1"/>
  <c r="G51" i="1"/>
  <c r="G47" i="1"/>
  <c r="G38" i="1"/>
  <c r="G37" i="1"/>
  <c r="G36" i="1"/>
  <c r="G33" i="1"/>
  <c r="G28" i="1"/>
  <c r="G27" i="1"/>
  <c r="G23" i="1"/>
  <c r="G21" i="1"/>
  <c r="G18" i="1"/>
  <c r="G16" i="1"/>
  <c r="G14" i="1"/>
  <c r="G11" i="1"/>
  <c r="G9" i="1"/>
  <c r="G8" i="1"/>
  <c r="D35" i="1"/>
  <c r="E50" i="1"/>
  <c r="G50" i="1" s="1"/>
  <c r="G49" i="1" s="1"/>
  <c r="D30" i="1"/>
  <c r="E152" i="1"/>
  <c r="G152" i="1" s="1"/>
  <c r="E151" i="1"/>
  <c r="E150" i="1"/>
  <c r="G150" i="1" s="1"/>
  <c r="E148" i="1"/>
  <c r="G148" i="1" s="1"/>
  <c r="E146" i="1"/>
  <c r="E145" i="1"/>
  <c r="E143" i="1"/>
  <c r="E142" i="1"/>
  <c r="G142" i="1" s="1"/>
  <c r="E141" i="1"/>
  <c r="G141" i="1" s="1"/>
  <c r="E139" i="1"/>
  <c r="E135" i="1"/>
  <c r="E134" i="1"/>
  <c r="E133" i="1"/>
  <c r="E132" i="1"/>
  <c r="G132" i="1" s="1"/>
  <c r="E131" i="1"/>
  <c r="E127" i="1"/>
  <c r="G127" i="1" s="1"/>
  <c r="E126" i="1"/>
  <c r="G126" i="1" s="1"/>
  <c r="E123" i="1"/>
  <c r="E122" i="1"/>
  <c r="E121" i="1"/>
  <c r="G121" i="1" s="1"/>
  <c r="E116" i="1"/>
  <c r="E114" i="1"/>
  <c r="G114" i="1" s="1"/>
  <c r="E113" i="1"/>
  <c r="E112" i="1"/>
  <c r="G112" i="1" s="1"/>
  <c r="E111" i="1"/>
  <c r="E110" i="1"/>
  <c r="G110" i="1" s="1"/>
  <c r="E109" i="1"/>
  <c r="E108" i="1"/>
  <c r="E106" i="1"/>
  <c r="G106" i="1" s="1"/>
  <c r="G100" i="1" s="1"/>
  <c r="E105" i="1"/>
  <c r="E98" i="1"/>
  <c r="E93" i="1" s="1"/>
  <c r="E97" i="1"/>
  <c r="E96" i="1"/>
  <c r="E94" i="1"/>
  <c r="G94" i="1" s="1"/>
  <c r="E91" i="1"/>
  <c r="E90" i="1"/>
  <c r="E89" i="1"/>
  <c r="E88" i="1"/>
  <c r="E86" i="1" s="1"/>
  <c r="E87" i="1"/>
  <c r="E84" i="1"/>
  <c r="G84" i="1" s="1"/>
  <c r="E83" i="1"/>
  <c r="E82" i="1"/>
  <c r="E81" i="1"/>
  <c r="E76" i="1"/>
  <c r="G76" i="1" s="1"/>
  <c r="E75" i="1"/>
  <c r="E74" i="1"/>
  <c r="E67" i="1"/>
  <c r="G67" i="1" s="1"/>
  <c r="G65" i="1" s="1"/>
  <c r="E66" i="1"/>
  <c r="E52" i="1"/>
  <c r="E51" i="1"/>
  <c r="E14" i="1"/>
  <c r="E47" i="1"/>
  <c r="E39" i="1"/>
  <c r="H39" i="1" s="1"/>
  <c r="E38" i="1"/>
  <c r="E37" i="1"/>
  <c r="E36" i="1"/>
  <c r="E33" i="1"/>
  <c r="E31" i="1"/>
  <c r="G31" i="1" s="1"/>
  <c r="E28" i="1"/>
  <c r="E27" i="1"/>
  <c r="E23" i="1"/>
  <c r="E21" i="1"/>
  <c r="E19" i="1" s="1"/>
  <c r="E18" i="1"/>
  <c r="H18" i="1" s="1"/>
  <c r="E17" i="1"/>
  <c r="H17" i="1" s="1"/>
  <c r="E16" i="1"/>
  <c r="E11" i="1"/>
  <c r="E9" i="1"/>
  <c r="E8" i="1"/>
  <c r="E100" i="1"/>
  <c r="E65" i="1"/>
  <c r="E63" i="1"/>
  <c r="E25" i="1"/>
  <c r="E7" i="1"/>
  <c r="D138" i="1"/>
  <c r="D125" i="1"/>
  <c r="D107" i="1"/>
  <c r="D100" i="1"/>
  <c r="D93" i="1"/>
  <c r="D86" i="1"/>
  <c r="D69" i="1"/>
  <c r="D65" i="1"/>
  <c r="D63" i="1"/>
  <c r="D56" i="1"/>
  <c r="D49" i="1"/>
  <c r="D25" i="1"/>
  <c r="D19" i="1"/>
  <c r="D15" i="1"/>
  <c r="D7" i="1"/>
  <c r="G63" i="1"/>
  <c r="G25" i="1"/>
  <c r="H50" i="1" l="1"/>
  <c r="E49" i="1"/>
  <c r="E35" i="1"/>
  <c r="H35" i="1" s="1"/>
  <c r="G39" i="1"/>
  <c r="G35" i="1" s="1"/>
  <c r="G17" i="1"/>
  <c r="H141" i="1"/>
  <c r="H32" i="1"/>
  <c r="H31" i="1"/>
  <c r="E125" i="1"/>
  <c r="E107" i="1"/>
  <c r="G98" i="1"/>
  <c r="E69" i="1"/>
  <c r="E56" i="1"/>
  <c r="G30" i="1"/>
  <c r="G24" i="1" s="1"/>
  <c r="E30" i="1"/>
  <c r="D24" i="1"/>
  <c r="E138" i="1"/>
  <c r="H138" i="1" s="1"/>
  <c r="D6" i="1"/>
  <c r="D55" i="1"/>
  <c r="G138" i="1"/>
  <c r="G19" i="1"/>
  <c r="G7" i="1"/>
  <c r="F138" i="1"/>
  <c r="C138" i="1"/>
  <c r="F127" i="1"/>
  <c r="F126" i="1"/>
  <c r="C125" i="1"/>
  <c r="F114" i="1"/>
  <c r="F113" i="1"/>
  <c r="C113" i="1"/>
  <c r="C109" i="1"/>
  <c r="F108" i="1"/>
  <c r="F100" i="1"/>
  <c r="C100" i="1"/>
  <c r="F97" i="1"/>
  <c r="F94" i="1"/>
  <c r="C94" i="1"/>
  <c r="C90" i="1"/>
  <c r="F89" i="1"/>
  <c r="F86" i="1" s="1"/>
  <c r="C89" i="1"/>
  <c r="F84" i="1"/>
  <c r="F83" i="1"/>
  <c r="F76" i="1"/>
  <c r="C69" i="1"/>
  <c r="F65" i="1"/>
  <c r="C65" i="1"/>
  <c r="F63" i="1"/>
  <c r="C63" i="1"/>
  <c r="F60" i="1"/>
  <c r="C60" i="1"/>
  <c r="F58" i="1"/>
  <c r="F49" i="1"/>
  <c r="F35" i="1"/>
  <c r="C35" i="1"/>
  <c r="F30" i="1"/>
  <c r="C30" i="1"/>
  <c r="F25" i="1"/>
  <c r="C25" i="1"/>
  <c r="F19" i="1"/>
  <c r="C19" i="1"/>
  <c r="F18" i="1"/>
  <c r="C15" i="1"/>
  <c r="F7" i="1"/>
  <c r="C7" i="1"/>
  <c r="E24" i="1" l="1"/>
  <c r="H24" i="1" s="1"/>
  <c r="H30" i="1"/>
  <c r="E6" i="1"/>
  <c r="H6" i="1" s="1"/>
  <c r="H15" i="1"/>
  <c r="E55" i="1"/>
  <c r="H55" i="1" s="1"/>
  <c r="D34" i="1"/>
  <c r="D48" i="1" s="1"/>
  <c r="D54" i="1" s="1"/>
  <c r="E34" i="1"/>
  <c r="E48" i="1" s="1"/>
  <c r="E54" i="1" s="1"/>
  <c r="C24" i="1"/>
  <c r="F69" i="1"/>
  <c r="C56" i="1"/>
  <c r="C93" i="1"/>
  <c r="G93" i="1"/>
  <c r="F125" i="1"/>
  <c r="F15" i="1"/>
  <c r="G15" i="1"/>
  <c r="G6" i="1" s="1"/>
  <c r="F24" i="1"/>
  <c r="F56" i="1"/>
  <c r="C86" i="1"/>
  <c r="F93" i="1"/>
  <c r="C107" i="1"/>
  <c r="F107" i="1"/>
  <c r="G48" i="1"/>
  <c r="G54" i="1" s="1"/>
  <c r="F6" i="1"/>
  <c r="C6" i="1"/>
  <c r="F55" i="1"/>
  <c r="G86" i="1" l="1"/>
  <c r="G125" i="1"/>
  <c r="G69" i="1"/>
  <c r="C55" i="1"/>
  <c r="G56" i="1"/>
  <c r="C34" i="1"/>
  <c r="C48" i="1" s="1"/>
  <c r="C54" i="1" s="1"/>
  <c r="F34" i="1"/>
  <c r="F48" i="1" s="1"/>
  <c r="F54" i="1" s="1"/>
  <c r="G107" i="1"/>
  <c r="G55" i="1" l="1"/>
</calcChain>
</file>

<file path=xl/sharedStrings.xml><?xml version="1.0" encoding="utf-8"?>
<sst xmlns="http://schemas.openxmlformats.org/spreadsheetml/2006/main" count="279" uniqueCount="278">
  <si>
    <t>TÕRVA VALD 2023.a eelarve eelnõu</t>
  </si>
  <si>
    <t xml:space="preserve">2022 eelarve 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</si>
  <si>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</si>
  <si>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</si>
  <si>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</si>
  <si>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</si>
  <si>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</si>
  <si>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</si>
  <si>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</si>
  <si>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</si>
  <si>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</si>
  <si>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</si>
  <si>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</si>
  <si>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</si>
  <si>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</si>
  <si>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</si>
  <si>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</si>
  <si>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</si>
  <si>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</si>
  <si>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</si>
  <si>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</si>
  <si>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</si>
  <si>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</si>
  <si>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</si>
  <si>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</si>
  <si>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</si>
  <si>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</si>
  <si>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</si>
  <si>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</si>
  <si>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</si>
  <si>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</si>
  <si>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</si>
  <si>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</si>
  <si>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</si>
  <si>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</si>
  <si>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</si>
  <si>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</si>
  <si>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</si>
  <si>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</si>
  <si>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</si>
  <si>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</si>
  <si>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</si>
  <si>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</si>
  <si>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</si>
  <si>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</si>
  <si>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</si>
  <si>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</si>
  <si>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</si>
  <si>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</si>
  <si>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</si>
  <si>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</si>
  <si>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</si>
  <si>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</si>
  <si>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</si>
  <si>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</si>
  <si>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</si>
  <si>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</si>
  <si>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</si>
  <si>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</si>
  <si>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</si>
  <si>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</si>
  <si>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</si>
  <si>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</si>
  <si>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</si>
  <si>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</si>
  <si>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</si>
  <si>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</si>
  <si>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</si>
  <si>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</si>
  <si>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</si>
  <si>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</si>
  <si>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</si>
  <si>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</si>
  <si>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</si>
  <si>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</si>
  <si>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</si>
  <si>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</si>
  <si>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</si>
  <si>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</si>
  <si>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</si>
  <si>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</si>
  <si>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</si>
  <si>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</si>
  <si>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</si>
  <si>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</si>
  <si>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</si>
  <si>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</si>
  <si>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</si>
  <si>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</si>
  <si>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</si>
  <si>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</si>
  <si>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</si>
  <si>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</si>
  <si>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</si>
  <si>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</si>
  <si>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</si>
  <si>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</si>
  <si>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</si>
  <si>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</si>
  <si>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</si>
  <si>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</si>
  <si>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</si>
  <si>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02300</t>
  </si>
  <si>
    <t>Kaitseotstarbeline väisabi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</si>
  <si>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</si>
  <si>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</si>
  <si>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</si>
  <si>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</si>
  <si>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</si>
  <si>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</si>
  <si>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</si>
  <si>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</si>
  <si>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</si>
  <si>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</si>
  <si>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</si>
  <si>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</si>
  <si>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</si>
  <si>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</si>
  <si>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</si>
  <si>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</si>
  <si>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</si>
  <si>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</si>
  <si>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</si>
  <si>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</si>
  <si>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</si>
  <si>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</si>
  <si>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</si>
  <si>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</si>
  <si>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</si>
  <si>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</si>
  <si>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</si>
  <si>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</si>
  <si>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</si>
  <si>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</si>
  <si>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</si>
  <si>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</si>
  <si>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</si>
  <si>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</si>
  <si>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</si>
  <si>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</si>
  <si>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</si>
  <si>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</si>
  <si>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</si>
  <si>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</si>
  <si>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</si>
  <si>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</si>
  <si>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</si>
  <si>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</si>
  <si>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</si>
  <si>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</si>
  <si>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</si>
  <si>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</si>
  <si>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</si>
  <si>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</si>
  <si>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</si>
  <si>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</si>
  <si>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</si>
  <si>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</si>
  <si>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</si>
  <si>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</si>
  <si>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</si>
  <si>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</si>
  <si>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</si>
  <si>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</si>
  <si>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</si>
  <si>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</si>
  <si>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</si>
  <si>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</si>
  <si>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</si>
  <si>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</si>
  <si>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</si>
  <si>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</si>
  <si>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</si>
  <si>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</si>
  <si>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</si>
  <si>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</si>
  <si>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</si>
  <si>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</si>
  <si>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</si>
  <si>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</si>
  <si>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</si>
  <si>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</si>
  <si>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</si>
  <si>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</si>
  <si>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</si>
  <si>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</si>
  <si>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</si>
  <si>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</si>
  <si>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</si>
  <si>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</si>
  <si>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</si>
  <si>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</si>
  <si>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</si>
  <si>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</si>
  <si>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</si>
  <si>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</si>
  <si>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</si>
  <si>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</si>
  <si>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</si>
  <si>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</si>
  <si>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</si>
  <si>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</si>
  <si>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</si>
  <si>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</si>
  <si>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</si>
  <si>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</si>
  <si>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</si>
  <si>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</si>
  <si>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</si>
  <si>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</si>
  <si>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</si>
  <si>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</si>
  <si>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</si>
  <si>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</si>
  <si>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</si>
  <si>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</si>
  <si>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</si>
  <si>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</si>
  <si>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</si>
  <si>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</si>
  <si>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</si>
  <si>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</si>
  <si>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</si>
  <si>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</si>
  <si>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</si>
  <si>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</si>
  <si>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</si>
  <si>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</si>
  <si>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</si>
  <si>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</si>
  <si>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</si>
  <si>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</si>
  <si>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</si>
  <si>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</si>
  <si>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</si>
  <si>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</si>
  <si>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</si>
  <si>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</si>
  <si>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</si>
  <si>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</si>
  <si>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</si>
  <si>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</si>
  <si>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</si>
  <si>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</si>
  <si>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</si>
  <si>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</si>
  <si>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</si>
  <si>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</si>
  <si>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</si>
  <si>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</si>
  <si>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</si>
  <si>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</si>
  <si>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</si>
  <si>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</si>
  <si>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</si>
  <si>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</si>
  <si>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</si>
  <si>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</si>
  <si>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</si>
  <si>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</si>
  <si>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</si>
  <si>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</si>
  <si>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</si>
  <si>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</si>
  <si>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</si>
  <si>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</si>
  <si>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</si>
  <si>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</si>
  <si>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</si>
  <si>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</si>
  <si>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</si>
  <si>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</si>
  <si>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</si>
  <si>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Võrdlus 2022.a eelarvega</t>
  </si>
  <si>
    <t>%</t>
  </si>
  <si>
    <t>2023 eelarve eelnõu I</t>
  </si>
  <si>
    <t>muutus</t>
  </si>
  <si>
    <t>2023 eelarve eelnõu II lugemine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</si>
</sst>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8" fillId="0" borderId="0"/>
    <xf numFmtId="9" fontId="18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1" applyFont="1" applyAlignment="1">
      <alignment horizontal="left"/>
    </xf>
    <xf numFmtId="49" fontId="5" fillId="0" borderId="0" xfId="0" applyNumberFormat="1" applyFont="1"/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left" wrapText="1"/>
    </xf>
    <xf numFmtId="49" fontId="6" fillId="0" borderId="4" xfId="0" applyNumberFormat="1" applyFont="1" applyBorder="1" applyAlignment="1">
      <alignment horizontal="left" wrapText="1"/>
    </xf>
    <xf numFmtId="49" fontId="6" fillId="0" borderId="5" xfId="0" applyNumberFormat="1" applyFont="1" applyBorder="1" applyAlignment="1">
      <alignment horizontal="left" wrapText="1"/>
    </xf>
    <xf numFmtId="4" fontId="4" fillId="0" borderId="5" xfId="3" applyNumberFormat="1" applyFont="1" applyBorder="1"/>
    <xf numFmtId="4" fontId="6" fillId="0" borderId="5" xfId="2" applyNumberFormat="1" applyFont="1" applyBorder="1" applyProtection="1">
      <protection locked="0"/>
    </xf>
    <xf numFmtId="49" fontId="6" fillId="0" borderId="6" xfId="0" applyNumberFormat="1" applyFont="1" applyBorder="1" applyAlignment="1">
      <alignment horizontal="left" wrapText="1"/>
    </xf>
    <xf numFmtId="4" fontId="6" fillId="0" borderId="7" xfId="2" applyNumberFormat="1" applyFont="1" applyBorder="1" applyProtection="1">
      <protection locked="0"/>
    </xf>
    <xf numFmtId="49" fontId="5" fillId="0" borderId="1" xfId="0" applyNumberFormat="1" applyFont="1" applyBorder="1" applyAlignment="1">
      <alignment horizontal="left"/>
    </xf>
    <xf numFmtId="4" fontId="6" fillId="0" borderId="4" xfId="2" applyNumberFormat="1" applyFont="1" applyBorder="1" applyProtection="1">
      <protection locked="0"/>
    </xf>
    <xf numFmtId="49" fontId="9" fillId="0" borderId="6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left"/>
    </xf>
    <xf numFmtId="4" fontId="6" fillId="0" borderId="6" xfId="2" applyNumberFormat="1" applyFont="1" applyBorder="1" applyProtection="1">
      <protection locked="0"/>
    </xf>
    <xf numFmtId="4" fontId="7" fillId="0" borderId="1" xfId="2" applyNumberFormat="1" applyFont="1" applyBorder="1"/>
    <xf numFmtId="49" fontId="6" fillId="0" borderId="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left" wrapText="1"/>
    </xf>
    <xf numFmtId="4" fontId="5" fillId="0" borderId="1" xfId="2" applyNumberFormat="1" applyFont="1" applyBorder="1"/>
    <xf numFmtId="4" fontId="4" fillId="0" borderId="4" xfId="3" applyNumberFormat="1" applyFont="1" applyBorder="1"/>
    <xf numFmtId="4" fontId="4" fillId="0" borderId="6" xfId="3" applyNumberFormat="1" applyFont="1" applyBorder="1"/>
    <xf numFmtId="49" fontId="7" fillId="0" borderId="1" xfId="0" applyNumberFormat="1" applyFont="1" applyBorder="1" applyAlignment="1">
      <alignment horizontal="left" wrapText="1"/>
    </xf>
    <xf numFmtId="4" fontId="7" fillId="0" borderId="1" xfId="1" applyNumberFormat="1" applyFont="1" applyBorder="1"/>
    <xf numFmtId="4" fontId="12" fillId="0" borderId="5" xfId="1" applyNumberFormat="1" applyFont="1" applyBorder="1"/>
    <xf numFmtId="4" fontId="12" fillId="0" borderId="5" xfId="2" applyNumberFormat="1" applyFont="1" applyBorder="1" applyProtection="1">
      <protection locked="0"/>
    </xf>
    <xf numFmtId="49" fontId="14" fillId="0" borderId="1" xfId="0" applyNumberFormat="1" applyFont="1" applyBorder="1" applyAlignment="1">
      <alignment horizontal="left" wrapText="1"/>
    </xf>
    <xf numFmtId="4" fontId="12" fillId="0" borderId="4" xfId="1" applyNumberFormat="1" applyFont="1" applyBorder="1" applyProtection="1">
      <protection locked="0"/>
    </xf>
    <xf numFmtId="4" fontId="15" fillId="3" borderId="1" xfId="1" applyNumberFormat="1" applyFont="1" applyFill="1" applyBorder="1"/>
    <xf numFmtId="4" fontId="12" fillId="3" borderId="1" xfId="1" applyNumberFormat="1" applyFont="1" applyFill="1" applyBorder="1"/>
    <xf numFmtId="49" fontId="12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12" fillId="0" borderId="5" xfId="1" applyNumberFormat="1" applyFont="1" applyBorder="1" applyProtection="1">
      <protection locked="0"/>
    </xf>
    <xf numFmtId="49" fontId="6" fillId="0" borderId="7" xfId="0" applyNumberFormat="1" applyFont="1" applyBorder="1" applyAlignment="1">
      <alignment horizontal="left" wrapText="1"/>
    </xf>
    <xf numFmtId="0" fontId="2" fillId="0" borderId="0" xfId="0" applyFont="1"/>
    <xf numFmtId="0" fontId="17" fillId="0" borderId="0" xfId="0" applyFont="1"/>
    <xf numFmtId="4" fontId="1" fillId="0" borderId="0" xfId="0" applyNumberFormat="1" applyFont="1"/>
    <xf numFmtId="4" fontId="0" fillId="0" borderId="0" xfId="0" applyNumberFormat="1"/>
    <xf numFmtId="49" fontId="5" fillId="2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9" fontId="19" fillId="0" borderId="1" xfId="4" applyFont="1" applyBorder="1"/>
    <xf numFmtId="9" fontId="4" fillId="0" borderId="4" xfId="4" applyFont="1" applyBorder="1"/>
    <xf numFmtId="9" fontId="4" fillId="0" borderId="5" xfId="4" applyFont="1" applyBorder="1"/>
    <xf numFmtId="4" fontId="12" fillId="0" borderId="4" xfId="2" applyNumberFormat="1" applyFont="1" applyBorder="1" applyProtection="1">
      <protection locked="0"/>
    </xf>
    <xf numFmtId="4" fontId="12" fillId="0" borderId="1" xfId="1" applyNumberFormat="1" applyFont="1" applyBorder="1" applyProtection="1">
      <protection locked="0"/>
    </xf>
    <xf numFmtId="9" fontId="4" fillId="0" borderId="3" xfId="4" applyFont="1" applyBorder="1"/>
    <xf numFmtId="4" fontId="12" fillId="0" borderId="4" xfId="1" applyNumberFormat="1" applyFont="1" applyBorder="1"/>
    <xf numFmtId="4" fontId="7" fillId="0" borderId="1" xfId="2" applyNumberFormat="1" applyFont="1" applyBorder="1" applyProtection="1">
      <protection locked="0"/>
    </xf>
    <xf numFmtId="4" fontId="7" fillId="0" borderId="1" xfId="3" applyNumberFormat="1" applyFont="1" applyBorder="1"/>
    <xf numFmtId="4" fontId="12" fillId="0" borderId="6" xfId="1" applyNumberFormat="1" applyFont="1" applyBorder="1" applyProtection="1">
      <protection locked="0"/>
    </xf>
    <xf numFmtId="4" fontId="12" fillId="0" borderId="3" xfId="2" applyNumberFormat="1" applyFont="1" applyBorder="1" applyProtection="1">
      <protection locked="0"/>
    </xf>
    <xf numFmtId="49" fontId="11" fillId="0" borderId="4" xfId="0" applyNumberFormat="1" applyFont="1" applyBorder="1" applyAlignment="1">
      <alignment horizontal="left" wrapText="1"/>
    </xf>
    <xf numFmtId="49" fontId="11" fillId="0" borderId="5" xfId="0" applyNumberFormat="1" applyFont="1" applyBorder="1" applyAlignment="1">
      <alignment horizontal="left"/>
    </xf>
    <xf numFmtId="49" fontId="11" fillId="0" borderId="5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49" fontId="13" fillId="0" borderId="3" xfId="0" applyNumberFormat="1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right" wrapText="1"/>
    </xf>
    <xf numFmtId="49" fontId="12" fillId="0" borderId="5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11" fillId="0" borderId="4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0" fontId="16" fillId="0" borderId="4" xfId="2" applyFont="1" applyBorder="1" applyAlignment="1">
      <alignment horizontal="left"/>
    </xf>
    <xf numFmtId="49" fontId="13" fillId="0" borderId="5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49" fontId="12" fillId="0" borderId="4" xfId="0" applyNumberFormat="1" applyFont="1" applyBorder="1" applyAlignment="1">
      <alignment horizontal="left" wrapText="1"/>
    </xf>
    <xf numFmtId="3" fontId="17" fillId="0" borderId="0" xfId="0" applyNumberFormat="1" applyFont="1"/>
    <xf numFmtId="49" fontId="11" fillId="0" borderId="5" xfId="0" applyNumberFormat="1" applyFont="1" applyBorder="1" applyAlignment="1">
      <alignment horizontal="left" wrapText="1" indent="1"/>
    </xf>
    <xf numFmtId="9" fontId="4" fillId="0" borderId="8" xfId="4" applyFont="1" applyBorder="1"/>
    <xf numFmtId="9" fontId="19" fillId="0" borderId="2" xfId="4" applyFont="1" applyBorder="1"/>
    <xf numFmtId="4" fontId="4" fillId="0" borderId="9" xfId="3" applyNumberFormat="1" applyFont="1" applyBorder="1"/>
    <xf numFmtId="49" fontId="5" fillId="2" borderId="10" xfId="0" applyNumberFormat="1" applyFont="1" applyFill="1" applyBorder="1" applyAlignment="1">
      <alignment horizontal="center" vertical="center" wrapText="1"/>
    </xf>
    <xf numFmtId="4" fontId="5" fillId="0" borderId="11" xfId="2" applyNumberFormat="1" applyFont="1" applyBorder="1"/>
    <xf numFmtId="4" fontId="6" fillId="0" borderId="12" xfId="2" applyNumberFormat="1" applyFont="1" applyBorder="1" applyProtection="1">
      <protection locked="0"/>
    </xf>
    <xf numFmtId="4" fontId="6" fillId="0" borderId="13" xfId="2" applyNumberFormat="1" applyFont="1" applyBorder="1" applyProtection="1">
      <protection locked="0"/>
    </xf>
    <xf numFmtId="4" fontId="19" fillId="0" borderId="11" xfId="3" applyNumberFormat="1" applyFont="1" applyBorder="1"/>
    <xf numFmtId="4" fontId="7" fillId="0" borderId="11" xfId="2" applyNumberFormat="1" applyFont="1" applyBorder="1"/>
    <xf numFmtId="4" fontId="6" fillId="0" borderId="9" xfId="2" applyNumberFormat="1" applyFont="1" applyBorder="1" applyProtection="1">
      <protection locked="0"/>
    </xf>
    <xf numFmtId="4" fontId="12" fillId="0" borderId="9" xfId="2" applyNumberFormat="1" applyFont="1" applyBorder="1" applyProtection="1">
      <protection locked="0"/>
    </xf>
    <xf numFmtId="4" fontId="7" fillId="0" borderId="11" xfId="1" applyNumberFormat="1" applyFont="1" applyBorder="1"/>
    <xf numFmtId="4" fontId="12" fillId="0" borderId="12" xfId="1" applyNumberFormat="1" applyFont="1" applyBorder="1"/>
    <xf numFmtId="4" fontId="12" fillId="0" borderId="12" xfId="2" applyNumberFormat="1" applyFont="1" applyBorder="1" applyProtection="1">
      <protection locked="0"/>
    </xf>
    <xf numFmtId="4" fontId="12" fillId="0" borderId="11" xfId="1" applyNumberFormat="1" applyFont="1" applyBorder="1" applyProtection="1">
      <protection locked="0"/>
    </xf>
    <xf numFmtId="4" fontId="12" fillId="3" borderId="11" xfId="1" applyNumberFormat="1" applyFont="1" applyFill="1" applyBorder="1"/>
    <xf numFmtId="4" fontId="7" fillId="0" borderId="11" xfId="2" applyNumberFormat="1" applyFont="1" applyBorder="1" applyProtection="1">
      <protection locked="0"/>
    </xf>
    <xf numFmtId="4" fontId="12" fillId="0" borderId="9" xfId="1" applyNumberFormat="1" applyFont="1" applyBorder="1"/>
    <xf numFmtId="4" fontId="12" fillId="0" borderId="12" xfId="1" applyNumberFormat="1" applyFont="1" applyBorder="1" applyProtection="1">
      <protection locked="0"/>
    </xf>
    <xf numFmtId="4" fontId="12" fillId="0" borderId="9" xfId="1" applyNumberFormat="1" applyFont="1" applyBorder="1" applyProtection="1">
      <protection locked="0"/>
    </xf>
    <xf numFmtId="4" fontId="6" fillId="0" borderId="14" xfId="2" applyNumberFormat="1" applyFont="1" applyBorder="1" applyProtection="1">
      <protection locked="0"/>
    </xf>
    <xf numFmtId="4" fontId="6" fillId="0" borderId="5" xfId="2" applyNumberFormat="1" applyFont="1" applyFill="1" applyBorder="1" applyProtection="1">
      <protection locked="0"/>
    </xf>
  </cellXfs>
  <cellStyles count="5">
    <cellStyle name="Normaallaad" xfId="0" builtinId="0"/>
    <cellStyle name="Normal" xfId="3" xr:uid="{5BFAD78C-4CDB-45AA-AEA9-151F50BFC2D3}"/>
    <cellStyle name="Normal 2" xfId="1" xr:uid="{7BE1FD71-D4C3-4D26-92F3-607F86CCCA8D}"/>
    <cellStyle name="Normal_Sheet1 2" xfId="2" xr:uid="{E5B02D4D-D321-41E7-B728-AD631B5C46F5}"/>
    <cellStyle name="Protsent" xfId="4" builtinId="5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95D0-6C2D-4ECB-BD51-F234F9CA8302}">
  <dimension ref="A1:J153"/>
  <sheetViews>
    <sheetView tabSelected="1" topLeftCell="A31" zoomScale="115" zoomScaleNormal="115" workbookViewId="0">
      <selection activeCell="D39" sqref="D39"/>
    </sheetView>
  </sheetViews>
  <sheetFormatPr defaultRowHeight="14.5" x14ac:dyDescent="0.35"/>
  <cols>
    <col min="1" max="1" width="8" customWidth="1"/>
    <col min="2" max="2" width="33.26953125" customWidth="1"/>
    <col min="3" max="3" width="15.453125" customWidth="1"/>
    <col min="4" max="4" width="12" customWidth="1"/>
    <col min="5" max="5" width="14.7265625" customWidth="1"/>
    <col min="6" max="6" width="15" customWidth="1"/>
    <col min="7" max="7" width="14.26953125" customWidth="1"/>
    <col min="8" max="8" width="7.81640625" customWidth="1"/>
    <col min="9" max="9" width="17" customWidth="1"/>
  </cols>
  <sheetData>
    <row r="1" spans="1:10" ht="15.75" customHeight="1" x14ac:dyDescent="0.35">
      <c r="F1" s="1"/>
    </row>
    <row r="2" spans="1:10" ht="15.75" customHeight="1" x14ac:dyDescent="0.35">
      <c r="F2" s="1"/>
      <c r="I2" s="1"/>
      <c r="J2" s="1"/>
    </row>
    <row r="3" spans="1:10" ht="15.75" customHeight="1" x14ac:dyDescent="0.35">
      <c r="F3" s="1"/>
      <c r="I3" s="1"/>
      <c r="J3" s="1"/>
    </row>
    <row r="4" spans="1:10" ht="15.75" customHeight="1" thickBot="1" x14ac:dyDescent="0.4">
      <c r="A4" s="2" t="s">
        <v>0</v>
      </c>
      <c r="B4" s="3"/>
      <c r="C4" s="3"/>
      <c r="D4" s="3"/>
      <c r="E4" s="3"/>
      <c r="F4" s="1"/>
      <c r="I4" s="1"/>
      <c r="J4" s="1"/>
    </row>
    <row r="5" spans="1:10" ht="43.5" customHeight="1" thickBot="1" x14ac:dyDescent="0.4">
      <c r="A5" s="3"/>
      <c r="B5" s="4"/>
      <c r="C5" s="39" t="s">
        <v>275</v>
      </c>
      <c r="D5" s="39" t="s">
        <v>276</v>
      </c>
      <c r="E5" s="39" t="s">
        <v>277</v>
      </c>
      <c r="F5" s="39" t="s">
        <v>1</v>
      </c>
      <c r="G5" s="79" t="s">
        <v>273</v>
      </c>
      <c r="H5" s="39" t="s">
        <v>274</v>
      </c>
    </row>
    <row r="6" spans="1:10" ht="15.75" customHeight="1" thickBot="1" x14ac:dyDescent="0.4">
      <c r="A6" s="5"/>
      <c r="B6" s="12" t="s">
        <v>2</v>
      </c>
      <c r="C6" s="20">
        <f>C7+C14+C15+C19</f>
        <v>10357900</v>
      </c>
      <c r="D6" s="20">
        <f>D7+D14+D15+D19</f>
        <v>259269</v>
      </c>
      <c r="E6" s="20">
        <f>E7+E14+E15+E19</f>
        <v>10617169</v>
      </c>
      <c r="F6" s="20">
        <f>F7+F14+F15+F19</f>
        <v>10018115.77</v>
      </c>
      <c r="G6" s="80">
        <f>G7+G14+G15+G19</f>
        <v>599053.23</v>
      </c>
      <c r="H6" s="42">
        <f>E6/F6</f>
        <v>1.059796996137129</v>
      </c>
    </row>
    <row r="7" spans="1:10" ht="15.75" customHeight="1" thickBot="1" x14ac:dyDescent="0.4">
      <c r="A7" s="5" t="s">
        <v>3</v>
      </c>
      <c r="B7" s="5" t="s">
        <v>4</v>
      </c>
      <c r="C7" s="20">
        <f>SUM(C8:C13)</f>
        <v>5726250</v>
      </c>
      <c r="D7" s="20">
        <f>SUM(D8:D13)</f>
        <v>23000</v>
      </c>
      <c r="E7" s="20">
        <f>SUM(E8:E13)</f>
        <v>5749250</v>
      </c>
      <c r="F7" s="20">
        <f>SUM(F8:F13)</f>
        <v>5517450</v>
      </c>
      <c r="G7" s="80">
        <f>SUM(G8:G13)</f>
        <v>231800</v>
      </c>
      <c r="H7" s="42">
        <f>E7/F7</f>
        <v>1.0420121614151465</v>
      </c>
    </row>
    <row r="8" spans="1:10" ht="15.75" customHeight="1" x14ac:dyDescent="0.35">
      <c r="A8" s="6" t="s">
        <v>5</v>
      </c>
      <c r="B8" s="6" t="s">
        <v>6</v>
      </c>
      <c r="C8" s="21">
        <v>5421000</v>
      </c>
      <c r="D8" s="21">
        <v>23000</v>
      </c>
      <c r="E8" s="21">
        <f>C8+D8</f>
        <v>5444000</v>
      </c>
      <c r="F8" s="21">
        <v>5212000</v>
      </c>
      <c r="G8" s="78">
        <f>E8-F8</f>
        <v>232000</v>
      </c>
      <c r="H8" s="43">
        <f>E8/F8</f>
        <v>1.044512663085188</v>
      </c>
    </row>
    <row r="9" spans="1:10" ht="15.75" customHeight="1" x14ac:dyDescent="0.35">
      <c r="A9" s="7" t="s">
        <v>7</v>
      </c>
      <c r="B9" s="7" t="s">
        <v>8</v>
      </c>
      <c r="C9" s="8">
        <v>305000</v>
      </c>
      <c r="D9" s="8"/>
      <c r="E9" s="21">
        <f>C9+D9</f>
        <v>305000</v>
      </c>
      <c r="F9" s="8">
        <v>305000</v>
      </c>
      <c r="G9" s="78">
        <f>E9-F9</f>
        <v>0</v>
      </c>
      <c r="H9" s="43">
        <f>E9/F9</f>
        <v>1</v>
      </c>
    </row>
    <row r="10" spans="1:10" ht="15.75" customHeight="1" x14ac:dyDescent="0.35">
      <c r="A10" s="7" t="s">
        <v>9</v>
      </c>
      <c r="B10" s="7" t="s">
        <v>10</v>
      </c>
      <c r="C10" s="9"/>
      <c r="D10" s="9"/>
      <c r="E10" s="9"/>
      <c r="F10" s="9"/>
      <c r="G10" s="81"/>
      <c r="H10" s="9"/>
    </row>
    <row r="11" spans="1:10" ht="15.75" customHeight="1" x14ac:dyDescent="0.35">
      <c r="A11" s="7" t="s">
        <v>11</v>
      </c>
      <c r="B11" s="7" t="s">
        <v>12</v>
      </c>
      <c r="C11" s="8">
        <v>250</v>
      </c>
      <c r="D11" s="8"/>
      <c r="E11" s="21">
        <f>C11+D11</f>
        <v>250</v>
      </c>
      <c r="F11" s="8">
        <v>450</v>
      </c>
      <c r="G11" s="78">
        <f>E11-F11</f>
        <v>-200</v>
      </c>
      <c r="H11" s="43">
        <f>E11/F11</f>
        <v>0.55555555555555558</v>
      </c>
    </row>
    <row r="12" spans="1:10" ht="15.75" customHeight="1" x14ac:dyDescent="0.35">
      <c r="A12" s="7" t="s">
        <v>13</v>
      </c>
      <c r="B12" s="18" t="s">
        <v>14</v>
      </c>
      <c r="C12" s="9"/>
      <c r="D12" s="9"/>
      <c r="E12" s="9"/>
      <c r="F12" s="9"/>
      <c r="G12" s="81"/>
      <c r="H12" s="9"/>
    </row>
    <row r="13" spans="1:10" ht="15.75" customHeight="1" thickBot="1" x14ac:dyDescent="0.4">
      <c r="A13" s="10" t="s">
        <v>15</v>
      </c>
      <c r="B13" s="10" t="s">
        <v>16</v>
      </c>
      <c r="C13" s="16"/>
      <c r="D13" s="16"/>
      <c r="E13" s="16"/>
      <c r="F13" s="16"/>
      <c r="G13" s="82"/>
      <c r="H13" s="16"/>
    </row>
    <row r="14" spans="1:10" s="35" customFormat="1" ht="15.75" customHeight="1" thickBot="1" x14ac:dyDescent="0.4">
      <c r="A14" s="5" t="s">
        <v>17</v>
      </c>
      <c r="B14" s="12" t="s">
        <v>18</v>
      </c>
      <c r="C14" s="50">
        <v>478100</v>
      </c>
      <c r="D14" s="50">
        <v>23000</v>
      </c>
      <c r="E14" s="50">
        <f>C14+D14</f>
        <v>501100</v>
      </c>
      <c r="F14" s="50">
        <v>490530</v>
      </c>
      <c r="G14" s="83">
        <f>E14-F14</f>
        <v>10570</v>
      </c>
      <c r="H14" s="42">
        <f t="shared" ref="H14:H19" si="0">E14/F14</f>
        <v>1.0215481214196889</v>
      </c>
    </row>
    <row r="15" spans="1:10" ht="15.75" customHeight="1" thickBot="1" x14ac:dyDescent="0.4">
      <c r="A15" s="5"/>
      <c r="B15" s="5" t="s">
        <v>19</v>
      </c>
      <c r="C15" s="20">
        <f>C16+C17+C18</f>
        <v>4127550</v>
      </c>
      <c r="D15" s="20">
        <f>D16+D17+D18</f>
        <v>213269</v>
      </c>
      <c r="E15" s="20">
        <f>E16+E17+E18</f>
        <v>4340819</v>
      </c>
      <c r="F15" s="20">
        <f>F16+F17+F18</f>
        <v>3934978.9699999997</v>
      </c>
      <c r="G15" s="80">
        <f>G16+G17+G18</f>
        <v>405840.03</v>
      </c>
      <c r="H15" s="42">
        <f t="shared" si="0"/>
        <v>1.1031365181603501</v>
      </c>
    </row>
    <row r="16" spans="1:10" s="36" customFormat="1" ht="15.75" customHeight="1" x14ac:dyDescent="0.35">
      <c r="A16" s="73" t="s">
        <v>20</v>
      </c>
      <c r="B16" s="73" t="s">
        <v>21</v>
      </c>
      <c r="C16" s="45">
        <v>980000</v>
      </c>
      <c r="D16" s="45">
        <v>-26173</v>
      </c>
      <c r="E16" s="21">
        <f t="shared" ref="E16:E18" si="1">C16+D16</f>
        <v>953827</v>
      </c>
      <c r="F16" s="45">
        <v>986961</v>
      </c>
      <c r="G16" s="78">
        <f t="shared" ref="G16:G18" si="2">E16-F16</f>
        <v>-33134</v>
      </c>
      <c r="H16" s="43">
        <f t="shared" si="0"/>
        <v>0.96642825805680266</v>
      </c>
      <c r="I16" s="74"/>
    </row>
    <row r="17" spans="1:8" s="36" customFormat="1" ht="15.75" customHeight="1" x14ac:dyDescent="0.35">
      <c r="A17" s="31" t="s">
        <v>22</v>
      </c>
      <c r="B17" s="31" t="s">
        <v>23</v>
      </c>
      <c r="C17" s="26">
        <v>3048905</v>
      </c>
      <c r="D17" s="26">
        <f>250692-7000</f>
        <v>243692</v>
      </c>
      <c r="E17" s="21">
        <f t="shared" si="1"/>
        <v>3292597</v>
      </c>
      <c r="F17" s="26">
        <v>2648212</v>
      </c>
      <c r="G17" s="78">
        <f t="shared" si="2"/>
        <v>644385</v>
      </c>
      <c r="H17" s="43">
        <f t="shared" si="0"/>
        <v>1.2433283286987598</v>
      </c>
    </row>
    <row r="18" spans="1:8" ht="15.75" customHeight="1" thickBot="1" x14ac:dyDescent="0.4">
      <c r="A18" s="14" t="s">
        <v>24</v>
      </c>
      <c r="B18" s="15" t="s">
        <v>25</v>
      </c>
      <c r="C18" s="16">
        <v>98645</v>
      </c>
      <c r="D18" s="16">
        <f>-11250+7000</f>
        <v>-4250</v>
      </c>
      <c r="E18" s="21">
        <f t="shared" si="1"/>
        <v>94395</v>
      </c>
      <c r="F18" s="16">
        <f>279805.97+20000</f>
        <v>299805.96999999997</v>
      </c>
      <c r="G18" s="78">
        <f t="shared" si="2"/>
        <v>-205410.96999999997</v>
      </c>
      <c r="H18" s="47">
        <f t="shared" si="0"/>
        <v>0.31485363683718509</v>
      </c>
    </row>
    <row r="19" spans="1:8" ht="15.75" customHeight="1" thickBot="1" x14ac:dyDescent="0.4">
      <c r="A19" s="5"/>
      <c r="B19" s="5" t="s">
        <v>26</v>
      </c>
      <c r="C19" s="17">
        <f>SUM(C20:C23)</f>
        <v>26000</v>
      </c>
      <c r="D19" s="17">
        <f>SUM(D20:D23)</f>
        <v>0</v>
      </c>
      <c r="E19" s="17">
        <f>SUM(E20:E23)</f>
        <v>26000</v>
      </c>
      <c r="F19" s="17">
        <f>SUM(F20:F23)</f>
        <v>75156.800000000003</v>
      </c>
      <c r="G19" s="84">
        <f>SUM(G20:G23)</f>
        <v>-49156.800000000003</v>
      </c>
      <c r="H19" s="42">
        <f t="shared" si="0"/>
        <v>0.34594341430183295</v>
      </c>
    </row>
    <row r="20" spans="1:8" ht="15.75" customHeight="1" x14ac:dyDescent="0.35">
      <c r="A20" s="6" t="s">
        <v>27</v>
      </c>
      <c r="B20" s="6" t="s">
        <v>28</v>
      </c>
      <c r="C20" s="13"/>
      <c r="D20" s="13"/>
      <c r="E20" s="13"/>
      <c r="F20" s="13"/>
      <c r="G20" s="85"/>
      <c r="H20" s="13"/>
    </row>
    <row r="21" spans="1:8" ht="15.75" customHeight="1" x14ac:dyDescent="0.35">
      <c r="A21" s="7" t="s">
        <v>29</v>
      </c>
      <c r="B21" s="18" t="s">
        <v>30</v>
      </c>
      <c r="C21" s="9">
        <v>18000</v>
      </c>
      <c r="D21" s="9"/>
      <c r="E21" s="21">
        <f>C21+D21</f>
        <v>18000</v>
      </c>
      <c r="F21" s="9">
        <v>19000</v>
      </c>
      <c r="G21" s="78">
        <f>E21-F21</f>
        <v>-1000</v>
      </c>
      <c r="H21" s="43">
        <f>E21/F21</f>
        <v>0.94736842105263153</v>
      </c>
    </row>
    <row r="22" spans="1:8" ht="20.149999999999999" customHeight="1" x14ac:dyDescent="0.35">
      <c r="A22" s="7" t="s">
        <v>31</v>
      </c>
      <c r="B22" s="19" t="s">
        <v>32</v>
      </c>
      <c r="C22" s="9"/>
      <c r="D22" s="9"/>
      <c r="E22" s="9"/>
      <c r="F22" s="9"/>
      <c r="G22" s="81"/>
      <c r="H22" s="9"/>
    </row>
    <row r="23" spans="1:8" ht="15.75" customHeight="1" thickBot="1" x14ac:dyDescent="0.4">
      <c r="A23" s="10" t="s">
        <v>33</v>
      </c>
      <c r="B23" s="10" t="s">
        <v>26</v>
      </c>
      <c r="C23" s="16">
        <v>8000</v>
      </c>
      <c r="D23" s="16"/>
      <c r="E23" s="21">
        <f>C23+D23</f>
        <v>8000</v>
      </c>
      <c r="F23" s="16">
        <v>56156.800000000003</v>
      </c>
      <c r="G23" s="78">
        <f>E23-F23</f>
        <v>-48156.800000000003</v>
      </c>
      <c r="H23" s="47">
        <f t="shared" ref="H23:H25" si="3">E23/F23</f>
        <v>0.14245825972989914</v>
      </c>
    </row>
    <row r="24" spans="1:8" ht="15.75" customHeight="1" thickBot="1" x14ac:dyDescent="0.4">
      <c r="A24" s="5"/>
      <c r="B24" s="12" t="s">
        <v>34</v>
      </c>
      <c r="C24" s="20">
        <f>C25+C30</f>
        <v>9893352</v>
      </c>
      <c r="D24" s="20">
        <f>D25+D30</f>
        <v>61946</v>
      </c>
      <c r="E24" s="20">
        <f>E25+E30</f>
        <v>9955298</v>
      </c>
      <c r="F24" s="20">
        <f>F25+F30</f>
        <v>9466190.9699999988</v>
      </c>
      <c r="G24" s="80">
        <f>G25+G30</f>
        <v>489107.03000000026</v>
      </c>
      <c r="H24" s="42">
        <f t="shared" si="3"/>
        <v>1.0516688319039904</v>
      </c>
    </row>
    <row r="25" spans="1:8" ht="15.75" customHeight="1" thickBot="1" x14ac:dyDescent="0.4">
      <c r="A25" s="5"/>
      <c r="B25" s="12" t="s">
        <v>35</v>
      </c>
      <c r="C25" s="20">
        <f>C26+C27+C28+C29</f>
        <v>803537</v>
      </c>
      <c r="D25" s="20">
        <f>D26+D27+D28+D29</f>
        <v>7988</v>
      </c>
      <c r="E25" s="20">
        <f>E26+E27+E28+E29</f>
        <v>811525</v>
      </c>
      <c r="F25" s="20">
        <f>F26+F27+F28+F29</f>
        <v>926149.78</v>
      </c>
      <c r="G25" s="80">
        <f>G26+G27+G28+G29</f>
        <v>-114624.78000000003</v>
      </c>
      <c r="H25" s="42">
        <f t="shared" si="3"/>
        <v>0.8762351592849269</v>
      </c>
    </row>
    <row r="26" spans="1:8" ht="15.75" customHeight="1" x14ac:dyDescent="0.35">
      <c r="A26" s="6" t="s">
        <v>36</v>
      </c>
      <c r="B26" s="53" t="s">
        <v>37</v>
      </c>
      <c r="C26" s="45"/>
      <c r="D26" s="45"/>
      <c r="E26" s="45"/>
      <c r="F26" s="45"/>
      <c r="G26" s="86"/>
      <c r="H26" s="45"/>
    </row>
    <row r="27" spans="1:8" ht="15.75" customHeight="1" x14ac:dyDescent="0.35">
      <c r="A27" s="7" t="s">
        <v>38</v>
      </c>
      <c r="B27" s="54" t="s">
        <v>39</v>
      </c>
      <c r="C27" s="8">
        <v>493678</v>
      </c>
      <c r="D27" s="8">
        <v>9988</v>
      </c>
      <c r="E27" s="21">
        <f t="shared" ref="E27:E28" si="4">C27+D27</f>
        <v>503666</v>
      </c>
      <c r="F27" s="8">
        <v>601084.78</v>
      </c>
      <c r="G27" s="78">
        <f t="shared" ref="G27:G28" si="5">E27-F27</f>
        <v>-97418.780000000028</v>
      </c>
      <c r="H27" s="43">
        <f t="shared" ref="H27:H28" si="6">E27/F27</f>
        <v>0.83792838674105175</v>
      </c>
    </row>
    <row r="28" spans="1:8" ht="15.75" customHeight="1" x14ac:dyDescent="0.35">
      <c r="A28" s="7" t="s">
        <v>40</v>
      </c>
      <c r="B28" s="55" t="s">
        <v>41</v>
      </c>
      <c r="C28" s="8">
        <v>309859</v>
      </c>
      <c r="D28" s="8">
        <v>-2000</v>
      </c>
      <c r="E28" s="21">
        <f t="shared" si="4"/>
        <v>307859</v>
      </c>
      <c r="F28" s="8">
        <v>325065</v>
      </c>
      <c r="G28" s="78">
        <f t="shared" si="5"/>
        <v>-17206</v>
      </c>
      <c r="H28" s="43">
        <f t="shared" si="6"/>
        <v>0.94706904772891576</v>
      </c>
    </row>
    <row r="29" spans="1:8" ht="15.75" customHeight="1" thickBot="1" x14ac:dyDescent="0.4">
      <c r="A29" s="10" t="s">
        <v>42</v>
      </c>
      <c r="B29" s="56" t="s">
        <v>43</v>
      </c>
      <c r="C29" s="16"/>
      <c r="D29" s="16"/>
      <c r="E29" s="16"/>
      <c r="F29" s="16"/>
      <c r="G29" s="82"/>
      <c r="H29" s="16"/>
    </row>
    <row r="30" spans="1:8" ht="15.75" customHeight="1" thickBot="1" x14ac:dyDescent="0.4">
      <c r="A30" s="5"/>
      <c r="B30" s="5" t="s">
        <v>44</v>
      </c>
      <c r="C30" s="17">
        <f>C31+C32+C33</f>
        <v>9089815</v>
      </c>
      <c r="D30" s="17">
        <f>D31+D32+D33</f>
        <v>53958</v>
      </c>
      <c r="E30" s="17">
        <f>E31+E32+E33</f>
        <v>9143773</v>
      </c>
      <c r="F30" s="17">
        <f>F31+F32+F33</f>
        <v>8540041.1899999995</v>
      </c>
      <c r="G30" s="84">
        <f>G31+G32+G33</f>
        <v>603731.81000000029</v>
      </c>
      <c r="H30" s="42">
        <f t="shared" ref="H30:H33" si="7">E30/F30</f>
        <v>1.070694250363446</v>
      </c>
    </row>
    <row r="31" spans="1:8" ht="15.75" customHeight="1" x14ac:dyDescent="0.35">
      <c r="A31" s="6" t="s">
        <v>45</v>
      </c>
      <c r="B31" s="6" t="s">
        <v>46</v>
      </c>
      <c r="C31" s="21">
        <v>5998218</v>
      </c>
      <c r="D31" s="21">
        <f>20750</f>
        <v>20750</v>
      </c>
      <c r="E31" s="21">
        <f t="shared" ref="E31:E33" si="8">C31+D31</f>
        <v>6018968</v>
      </c>
      <c r="F31" s="21">
        <v>5405436.6299999999</v>
      </c>
      <c r="G31" s="78">
        <f t="shared" ref="G31:G33" si="9">E31-F31</f>
        <v>613531.37000000011</v>
      </c>
      <c r="H31" s="43">
        <f t="shared" si="7"/>
        <v>1.1135026477962799</v>
      </c>
    </row>
    <row r="32" spans="1:8" ht="15.75" customHeight="1" x14ac:dyDescent="0.35">
      <c r="A32" s="7" t="s">
        <v>47</v>
      </c>
      <c r="B32" s="7" t="s">
        <v>48</v>
      </c>
      <c r="C32" s="8">
        <v>3051447</v>
      </c>
      <c r="D32" s="8">
        <f>45208</f>
        <v>45208</v>
      </c>
      <c r="E32" s="21">
        <f t="shared" si="8"/>
        <v>3096655</v>
      </c>
      <c r="F32" s="8">
        <v>3132742.8</v>
      </c>
      <c r="G32" s="78">
        <f t="shared" si="9"/>
        <v>-36087.799999999814</v>
      </c>
      <c r="H32" s="43">
        <f t="shared" si="7"/>
        <v>0.98848044595298412</v>
      </c>
    </row>
    <row r="33" spans="1:8" ht="15.75" customHeight="1" thickBot="1" x14ac:dyDescent="0.4">
      <c r="A33" s="10" t="s">
        <v>49</v>
      </c>
      <c r="B33" s="10" t="s">
        <v>50</v>
      </c>
      <c r="C33" s="22">
        <v>40150</v>
      </c>
      <c r="D33" s="22">
        <v>-12000</v>
      </c>
      <c r="E33" s="21">
        <f t="shared" si="8"/>
        <v>28150</v>
      </c>
      <c r="F33" s="22">
        <v>1861.76</v>
      </c>
      <c r="G33" s="78">
        <f t="shared" si="9"/>
        <v>26288.240000000002</v>
      </c>
      <c r="H33" s="43">
        <f t="shared" si="7"/>
        <v>15.120101409419044</v>
      </c>
    </row>
    <row r="34" spans="1:8" s="36" customFormat="1" ht="15.75" customHeight="1" thickBot="1" x14ac:dyDescent="0.4">
      <c r="A34" s="23"/>
      <c r="B34" s="57" t="s">
        <v>51</v>
      </c>
      <c r="C34" s="24">
        <f>C6-C24</f>
        <v>464548</v>
      </c>
      <c r="D34" s="24">
        <f>D6-D24</f>
        <v>197323</v>
      </c>
      <c r="E34" s="24">
        <f>E6-E24</f>
        <v>661871</v>
      </c>
      <c r="F34" s="24">
        <f>F6-F24</f>
        <v>551924.80000000075</v>
      </c>
      <c r="G34" s="87"/>
      <c r="H34" s="24"/>
    </row>
    <row r="35" spans="1:8" ht="15.75" customHeight="1" thickBot="1" x14ac:dyDescent="0.4">
      <c r="A35" s="5"/>
      <c r="B35" s="58" t="s">
        <v>52</v>
      </c>
      <c r="C35" s="24">
        <f>C36-C37+C38-C39+C40-C41+C42-C43+C44-C45+C46-C47</f>
        <v>-1496020</v>
      </c>
      <c r="D35" s="24">
        <f>D36-D37+D38-D39+D40-D41+D42-D43+D44-D45+D46-D47</f>
        <v>69000</v>
      </c>
      <c r="E35" s="24">
        <f>E36-E37+E38-E39+E40-E41+E42-E43+E44-E45+E46-E47</f>
        <v>-1427020</v>
      </c>
      <c r="F35" s="24">
        <f>F36-F37+F38-F39+F40-F41+F42-F43+F44-F45+F46-F47</f>
        <v>-893564.8</v>
      </c>
      <c r="G35" s="87">
        <f>G36-G37+G38-G39+G40-G41+G42-G43+G44-G45+G46-G47</f>
        <v>-533455.19999999995</v>
      </c>
      <c r="H35" s="42">
        <f t="shared" ref="H35:H39" si="10">E35/F35</f>
        <v>1.5969966587761737</v>
      </c>
    </row>
    <row r="36" spans="1:8" ht="15.75" customHeight="1" x14ac:dyDescent="0.35">
      <c r="A36" s="6" t="s">
        <v>53</v>
      </c>
      <c r="B36" s="6" t="s">
        <v>54</v>
      </c>
      <c r="C36" s="13">
        <v>500000</v>
      </c>
      <c r="D36" s="13"/>
      <c r="E36" s="21">
        <f t="shared" ref="E36:E39" si="11">C36+D36</f>
        <v>500000</v>
      </c>
      <c r="F36" s="13">
        <v>155000</v>
      </c>
      <c r="G36" s="78">
        <f t="shared" ref="G36:G39" si="12">E36-F36</f>
        <v>345000</v>
      </c>
      <c r="H36" s="43">
        <f t="shared" si="10"/>
        <v>3.225806451612903</v>
      </c>
    </row>
    <row r="37" spans="1:8" ht="15.75" customHeight="1" x14ac:dyDescent="0.35">
      <c r="A37" s="7" t="s">
        <v>55</v>
      </c>
      <c r="B37" s="7" t="s">
        <v>56</v>
      </c>
      <c r="C37" s="9">
        <v>1944700</v>
      </c>
      <c r="D37" s="9">
        <v>-109000</v>
      </c>
      <c r="E37" s="21">
        <f t="shared" si="11"/>
        <v>1835700</v>
      </c>
      <c r="F37" s="9">
        <v>1090911.8</v>
      </c>
      <c r="G37" s="78">
        <f t="shared" si="12"/>
        <v>744788.2</v>
      </c>
      <c r="H37" s="43">
        <f t="shared" si="10"/>
        <v>1.6827208212432938</v>
      </c>
    </row>
    <row r="38" spans="1:8" ht="15.75" customHeight="1" x14ac:dyDescent="0.35">
      <c r="A38" s="7" t="s">
        <v>57</v>
      </c>
      <c r="B38" s="18" t="s">
        <v>58</v>
      </c>
      <c r="C38" s="9">
        <v>791680</v>
      </c>
      <c r="D38" s="9"/>
      <c r="E38" s="21">
        <f t="shared" si="11"/>
        <v>791680</v>
      </c>
      <c r="F38" s="9">
        <v>290606</v>
      </c>
      <c r="G38" s="78">
        <f t="shared" si="12"/>
        <v>501074</v>
      </c>
      <c r="H38" s="43">
        <f t="shared" si="10"/>
        <v>2.7242383157952692</v>
      </c>
    </row>
    <row r="39" spans="1:8" ht="15.75" customHeight="1" x14ac:dyDescent="0.35">
      <c r="A39" s="7" t="s">
        <v>59</v>
      </c>
      <c r="B39" s="18" t="s">
        <v>60</v>
      </c>
      <c r="C39" s="9">
        <v>765000</v>
      </c>
      <c r="D39" s="97"/>
      <c r="E39" s="21">
        <f t="shared" si="11"/>
        <v>765000</v>
      </c>
      <c r="F39" s="9">
        <v>198099</v>
      </c>
      <c r="G39" s="78">
        <f t="shared" si="12"/>
        <v>566901</v>
      </c>
      <c r="H39" s="43">
        <f t="shared" si="10"/>
        <v>3.8617055108809231</v>
      </c>
    </row>
    <row r="40" spans="1:8" ht="15.75" customHeight="1" x14ac:dyDescent="0.35">
      <c r="A40" s="7" t="s">
        <v>61</v>
      </c>
      <c r="B40" s="7" t="s">
        <v>62</v>
      </c>
      <c r="C40" s="25"/>
      <c r="D40" s="25"/>
      <c r="E40" s="25"/>
      <c r="F40" s="25"/>
      <c r="G40" s="88"/>
      <c r="H40" s="25"/>
    </row>
    <row r="41" spans="1:8" ht="15.75" customHeight="1" x14ac:dyDescent="0.35">
      <c r="A41" s="7" t="s">
        <v>63</v>
      </c>
      <c r="B41" s="7" t="s">
        <v>64</v>
      </c>
      <c r="C41" s="25"/>
      <c r="D41" s="25"/>
      <c r="E41" s="25"/>
      <c r="F41" s="25"/>
      <c r="G41" s="88"/>
      <c r="H41" s="25"/>
    </row>
    <row r="42" spans="1:8" ht="15.75" customHeight="1" x14ac:dyDescent="0.35">
      <c r="A42" s="7" t="s">
        <v>65</v>
      </c>
      <c r="B42" s="18" t="s">
        <v>66</v>
      </c>
      <c r="C42" s="25"/>
      <c r="D42" s="25"/>
      <c r="E42" s="25"/>
      <c r="F42" s="25"/>
      <c r="G42" s="88"/>
      <c r="H42" s="25"/>
    </row>
    <row r="43" spans="1:8" ht="15.75" customHeight="1" x14ac:dyDescent="0.35">
      <c r="A43" s="7" t="s">
        <v>67</v>
      </c>
      <c r="B43" s="18" t="s">
        <v>68</v>
      </c>
      <c r="C43" s="25"/>
      <c r="D43" s="25"/>
      <c r="E43" s="25"/>
      <c r="F43" s="25"/>
      <c r="G43" s="88"/>
      <c r="H43" s="25"/>
    </row>
    <row r="44" spans="1:8" ht="15.75" customHeight="1" x14ac:dyDescent="0.35">
      <c r="A44" s="7" t="s">
        <v>69</v>
      </c>
      <c r="B44" s="7" t="s">
        <v>70</v>
      </c>
      <c r="C44" s="26"/>
      <c r="D44" s="26"/>
      <c r="E44" s="26"/>
      <c r="F44" s="26"/>
      <c r="G44" s="89"/>
      <c r="H44" s="26"/>
    </row>
    <row r="45" spans="1:8" ht="15.75" customHeight="1" x14ac:dyDescent="0.35">
      <c r="A45" s="7" t="s">
        <v>71</v>
      </c>
      <c r="B45" s="7" t="s">
        <v>72</v>
      </c>
      <c r="C45" s="25"/>
      <c r="D45" s="25"/>
      <c r="E45" s="25"/>
      <c r="F45" s="25"/>
      <c r="G45" s="88"/>
      <c r="H45" s="25"/>
    </row>
    <row r="46" spans="1:8" ht="15.75" customHeight="1" x14ac:dyDescent="0.35">
      <c r="A46" s="7" t="s">
        <v>73</v>
      </c>
      <c r="B46" s="7" t="s">
        <v>74</v>
      </c>
      <c r="C46" s="25"/>
      <c r="D46" s="25"/>
      <c r="E46" s="25"/>
      <c r="F46" s="25"/>
      <c r="G46" s="88"/>
      <c r="H46" s="25"/>
    </row>
    <row r="47" spans="1:8" ht="15.75" customHeight="1" thickBot="1" x14ac:dyDescent="0.4">
      <c r="A47" s="10" t="s">
        <v>75</v>
      </c>
      <c r="B47" s="10" t="s">
        <v>76</v>
      </c>
      <c r="C47" s="16">
        <v>78000</v>
      </c>
      <c r="D47" s="16">
        <v>40000</v>
      </c>
      <c r="E47" s="21">
        <f t="shared" ref="E47" si="13">C47+D47</f>
        <v>118000</v>
      </c>
      <c r="F47" s="16">
        <v>50160</v>
      </c>
      <c r="G47" s="78">
        <f>E47-F47</f>
        <v>67840</v>
      </c>
      <c r="H47" s="43">
        <f>E47/F47</f>
        <v>2.3524720893141944</v>
      </c>
    </row>
    <row r="48" spans="1:8" ht="27.75" customHeight="1" thickBot="1" x14ac:dyDescent="0.4">
      <c r="A48" s="5"/>
      <c r="B48" s="27" t="s">
        <v>77</v>
      </c>
      <c r="C48" s="24">
        <f>C34+C35</f>
        <v>-1031472</v>
      </c>
      <c r="D48" s="24">
        <f>D34+D35</f>
        <v>266323</v>
      </c>
      <c r="E48" s="24">
        <f>E34+E35</f>
        <v>-765149</v>
      </c>
      <c r="F48" s="24">
        <f>F34+F35</f>
        <v>-341639.9999999993</v>
      </c>
      <c r="G48" s="87">
        <f>G34+G35</f>
        <v>-533455.19999999995</v>
      </c>
      <c r="H48" s="42"/>
    </row>
    <row r="49" spans="1:9" ht="15.75" customHeight="1" thickBot="1" x14ac:dyDescent="0.4">
      <c r="A49" s="5"/>
      <c r="B49" s="12" t="s">
        <v>78</v>
      </c>
      <c r="C49" s="24">
        <f>C50+C51</f>
        <v>1034900</v>
      </c>
      <c r="D49" s="24">
        <f>D50+D51</f>
        <v>0</v>
      </c>
      <c r="E49" s="24">
        <f>E50+E51</f>
        <v>1034900</v>
      </c>
      <c r="F49" s="24">
        <f>F50+F51</f>
        <v>-65078</v>
      </c>
      <c r="G49" s="87">
        <f>G50+G51</f>
        <v>1099978</v>
      </c>
      <c r="H49" s="42"/>
    </row>
    <row r="50" spans="1:9" ht="15.75" customHeight="1" x14ac:dyDescent="0.35">
      <c r="A50" s="6" t="s">
        <v>79</v>
      </c>
      <c r="B50" s="6" t="s">
        <v>80</v>
      </c>
      <c r="C50" s="28">
        <v>1450000</v>
      </c>
      <c r="D50" s="28"/>
      <c r="E50" s="21">
        <f t="shared" ref="E50:E52" si="14">C50+D50</f>
        <v>1450000</v>
      </c>
      <c r="F50" s="28">
        <v>350000</v>
      </c>
      <c r="G50" s="78">
        <f t="shared" ref="G50:G52" si="15">E50-F50</f>
        <v>1100000</v>
      </c>
      <c r="H50" s="43">
        <f t="shared" ref="H50:H52" si="16">E50/F50</f>
        <v>4.1428571428571432</v>
      </c>
    </row>
    <row r="51" spans="1:9" ht="15.75" customHeight="1" x14ac:dyDescent="0.35">
      <c r="A51" s="7" t="s">
        <v>81</v>
      </c>
      <c r="B51" s="7" t="s">
        <v>82</v>
      </c>
      <c r="C51" s="9">
        <v>-415100</v>
      </c>
      <c r="D51" s="9"/>
      <c r="E51" s="21">
        <f t="shared" si="14"/>
        <v>-415100</v>
      </c>
      <c r="F51" s="9">
        <v>-415078</v>
      </c>
      <c r="G51" s="78">
        <f t="shared" si="15"/>
        <v>-22</v>
      </c>
      <c r="H51" s="43">
        <f t="shared" si="16"/>
        <v>1.0000530020863549</v>
      </c>
    </row>
    <row r="52" spans="1:9" ht="15.75" customHeight="1" thickBot="1" x14ac:dyDescent="0.4">
      <c r="A52" s="32" t="s">
        <v>83</v>
      </c>
      <c r="B52" s="59" t="s">
        <v>84</v>
      </c>
      <c r="C52" s="51">
        <v>0</v>
      </c>
      <c r="D52" s="51"/>
      <c r="E52" s="21">
        <f t="shared" si="14"/>
        <v>0</v>
      </c>
      <c r="F52" s="51">
        <v>-264128.40999999997</v>
      </c>
      <c r="G52" s="78">
        <f t="shared" si="15"/>
        <v>264128.40999999997</v>
      </c>
      <c r="H52" s="43">
        <f t="shared" si="16"/>
        <v>0</v>
      </c>
    </row>
    <row r="53" spans="1:9" ht="15.75" customHeight="1" thickBot="1" x14ac:dyDescent="0.4">
      <c r="A53" s="5"/>
      <c r="B53" s="60" t="s">
        <v>85</v>
      </c>
      <c r="C53" s="46">
        <v>-125000</v>
      </c>
      <c r="D53" s="46">
        <v>-144751</v>
      </c>
      <c r="E53" s="46">
        <f>C53+D53</f>
        <v>-269751</v>
      </c>
      <c r="F53" s="46">
        <v>142589.59</v>
      </c>
      <c r="G53" s="90"/>
      <c r="H53" s="46"/>
    </row>
    <row r="54" spans="1:9" ht="15.75" customHeight="1" thickBot="1" x14ac:dyDescent="0.4">
      <c r="A54" s="40"/>
      <c r="B54" s="61"/>
      <c r="C54" s="29">
        <f>C48+C49-C52+C53</f>
        <v>-121572</v>
      </c>
      <c r="D54" s="29">
        <f>D48+D49-D52+D53</f>
        <v>121572</v>
      </c>
      <c r="E54" s="29">
        <f>E48+E49-E52+E53</f>
        <v>0</v>
      </c>
      <c r="F54" s="30">
        <f>F48+F49-F52+F53</f>
        <v>6.6938810050487518E-10</v>
      </c>
      <c r="G54" s="91">
        <f>G48+G49-G52+G53</f>
        <v>302394.39000000007</v>
      </c>
      <c r="H54" s="30"/>
    </row>
    <row r="55" spans="1:9" ht="48.65" customHeight="1" thickBot="1" x14ac:dyDescent="0.4">
      <c r="A55" s="5"/>
      <c r="B55" s="27" t="s">
        <v>86</v>
      </c>
      <c r="C55" s="17">
        <f>C56+C63+C65+C69+C86+C93+C100+C107+C125+C138</f>
        <v>12681052</v>
      </c>
      <c r="D55" s="17">
        <f>D56+D63+D65+D69+D86+D93+D100+D107+D125+D138</f>
        <v>-7054</v>
      </c>
      <c r="E55" s="17">
        <f>E56+E63+E65+E69+E86+E93+E100+E107+E125+E138</f>
        <v>12673998</v>
      </c>
      <c r="F55" s="17">
        <f>F56+F63+F65+F69+F86+F93+F100+F107+F125+F138</f>
        <v>10805361.77</v>
      </c>
      <c r="G55" s="84">
        <f>G56+G63+G65+G69+G86+G93+G100+G107+G125+G138</f>
        <v>1868636.2300000004</v>
      </c>
      <c r="H55" s="77">
        <f t="shared" ref="H55:H116" si="17">E55/F55</f>
        <v>1.1729360173009737</v>
      </c>
      <c r="I55" s="37"/>
    </row>
    <row r="56" spans="1:9" ht="15.75" customHeight="1" thickBot="1" x14ac:dyDescent="0.4">
      <c r="A56" s="5" t="s">
        <v>87</v>
      </c>
      <c r="B56" s="12" t="s">
        <v>88</v>
      </c>
      <c r="C56" s="24">
        <f>SUM(C57:C62)</f>
        <v>1114464</v>
      </c>
      <c r="D56" s="24">
        <f>SUM(D57:D62)</f>
        <v>19120</v>
      </c>
      <c r="E56" s="24">
        <f>SUM(E57:E62)</f>
        <v>1133584</v>
      </c>
      <c r="F56" s="24">
        <f>SUM(F57:F62)</f>
        <v>1009616.89</v>
      </c>
      <c r="G56" s="87">
        <f>SUM(G57:G62)</f>
        <v>123967.11</v>
      </c>
      <c r="H56" s="42">
        <f t="shared" si="17"/>
        <v>1.1227862877769408</v>
      </c>
      <c r="I56" s="38"/>
    </row>
    <row r="57" spans="1:9" ht="15.75" customHeight="1" x14ac:dyDescent="0.35">
      <c r="A57" s="6" t="s">
        <v>89</v>
      </c>
      <c r="B57" s="6" t="s">
        <v>90</v>
      </c>
      <c r="C57" s="13">
        <v>97424</v>
      </c>
      <c r="D57" s="13">
        <v>-6880</v>
      </c>
      <c r="E57" s="21">
        <f t="shared" ref="E57:E62" si="18">C57+D57</f>
        <v>90544</v>
      </c>
      <c r="F57" s="13">
        <v>97924</v>
      </c>
      <c r="G57" s="78">
        <f t="shared" ref="G57:G62" si="19">E57-F57</f>
        <v>-7380</v>
      </c>
      <c r="H57" s="43">
        <f t="shared" si="17"/>
        <v>0.92463543155916839</v>
      </c>
    </row>
    <row r="58" spans="1:9" ht="15.75" customHeight="1" x14ac:dyDescent="0.35">
      <c r="A58" s="7" t="s">
        <v>91</v>
      </c>
      <c r="B58" s="18" t="s">
        <v>92</v>
      </c>
      <c r="C58" s="9">
        <v>720040</v>
      </c>
      <c r="D58" s="9">
        <v>-2000</v>
      </c>
      <c r="E58" s="21">
        <f t="shared" si="18"/>
        <v>718040</v>
      </c>
      <c r="F58" s="9">
        <f>674919.13+25000</f>
        <v>699919.13</v>
      </c>
      <c r="G58" s="78">
        <f t="shared" si="19"/>
        <v>18120.869999999995</v>
      </c>
      <c r="H58" s="43">
        <f t="shared" si="17"/>
        <v>1.0258899481715837</v>
      </c>
    </row>
    <row r="59" spans="1:9" ht="15.75" customHeight="1" x14ac:dyDescent="0.35">
      <c r="A59" s="7" t="s">
        <v>93</v>
      </c>
      <c r="B59" s="18" t="s">
        <v>94</v>
      </c>
      <c r="C59" s="9">
        <v>40000</v>
      </c>
      <c r="D59" s="9">
        <v>-12000</v>
      </c>
      <c r="E59" s="21">
        <f t="shared" si="18"/>
        <v>28000</v>
      </c>
      <c r="F59" s="9">
        <v>1591.76</v>
      </c>
      <c r="G59" s="78">
        <f t="shared" si="19"/>
        <v>26408.240000000002</v>
      </c>
      <c r="H59" s="43"/>
    </row>
    <row r="60" spans="1:9" ht="15.75" customHeight="1" x14ac:dyDescent="0.35">
      <c r="A60" s="7" t="s">
        <v>95</v>
      </c>
      <c r="B60" s="18" t="s">
        <v>96</v>
      </c>
      <c r="C60" s="9">
        <f>12000+100000</f>
        <v>112000</v>
      </c>
      <c r="D60" s="9"/>
      <c r="E60" s="21">
        <f t="shared" si="18"/>
        <v>112000</v>
      </c>
      <c r="F60" s="9">
        <f>12800+80000</f>
        <v>92800</v>
      </c>
      <c r="G60" s="78">
        <f t="shared" si="19"/>
        <v>19200</v>
      </c>
      <c r="H60" s="43">
        <f t="shared" si="17"/>
        <v>1.2068965517241379</v>
      </c>
    </row>
    <row r="61" spans="1:9" s="36" customFormat="1" ht="15.75" customHeight="1" x14ac:dyDescent="0.35">
      <c r="A61" s="31" t="s">
        <v>97</v>
      </c>
      <c r="B61" s="62" t="s">
        <v>98</v>
      </c>
      <c r="C61" s="26">
        <v>78000</v>
      </c>
      <c r="D61" s="26">
        <v>40000</v>
      </c>
      <c r="E61" s="21">
        <f t="shared" si="18"/>
        <v>118000</v>
      </c>
      <c r="F61" s="26">
        <v>50160</v>
      </c>
      <c r="G61" s="78">
        <f t="shared" si="19"/>
        <v>67840</v>
      </c>
      <c r="H61" s="43">
        <f t="shared" si="17"/>
        <v>2.3524720893141944</v>
      </c>
    </row>
    <row r="62" spans="1:9" ht="15.75" customHeight="1" thickBot="1" x14ac:dyDescent="0.4">
      <c r="A62" s="10"/>
      <c r="B62" s="63" t="s">
        <v>99</v>
      </c>
      <c r="C62" s="16">
        <v>67000</v>
      </c>
      <c r="D62" s="16"/>
      <c r="E62" s="21">
        <f t="shared" si="18"/>
        <v>67000</v>
      </c>
      <c r="F62" s="16">
        <v>67222</v>
      </c>
      <c r="G62" s="78">
        <f t="shared" si="19"/>
        <v>-222</v>
      </c>
      <c r="H62" s="47">
        <f t="shared" si="17"/>
        <v>0.99669750974383386</v>
      </c>
    </row>
    <row r="63" spans="1:9" ht="15.75" customHeight="1" thickBot="1" x14ac:dyDescent="0.4">
      <c r="A63" s="5" t="s">
        <v>100</v>
      </c>
      <c r="B63" s="5" t="s">
        <v>101</v>
      </c>
      <c r="C63" s="49">
        <f>C64</f>
        <v>0</v>
      </c>
      <c r="D63" s="49">
        <f>D64</f>
        <v>0</v>
      </c>
      <c r="E63" s="49">
        <f>E64</f>
        <v>0</v>
      </c>
      <c r="F63" s="49">
        <f>F64</f>
        <v>10000</v>
      </c>
      <c r="G63" s="92">
        <f>G64</f>
        <v>-10000</v>
      </c>
      <c r="H63" s="42">
        <f t="shared" si="17"/>
        <v>0</v>
      </c>
    </row>
    <row r="64" spans="1:9" ht="15.75" customHeight="1" thickBot="1" x14ac:dyDescent="0.4">
      <c r="A64" s="41" t="s">
        <v>102</v>
      </c>
      <c r="B64" s="41" t="s">
        <v>103</v>
      </c>
      <c r="C64" s="52"/>
      <c r="D64" s="52"/>
      <c r="E64" s="52"/>
      <c r="F64" s="52">
        <v>10000</v>
      </c>
      <c r="G64" s="78">
        <f t="shared" ref="G64" si="20">E64-F64</f>
        <v>-10000</v>
      </c>
      <c r="H64" s="47">
        <f t="shared" si="17"/>
        <v>0</v>
      </c>
    </row>
    <row r="65" spans="1:8" ht="15.75" customHeight="1" thickBot="1" x14ac:dyDescent="0.4">
      <c r="A65" s="5" t="s">
        <v>104</v>
      </c>
      <c r="B65" s="5" t="s">
        <v>105</v>
      </c>
      <c r="C65" s="24">
        <f>SUM(C66:C68)</f>
        <v>28794</v>
      </c>
      <c r="D65" s="24">
        <f>SUM(D66:D68)</f>
        <v>-1000</v>
      </c>
      <c r="E65" s="24">
        <f>SUM(E66:E68)</f>
        <v>27794</v>
      </c>
      <c r="F65" s="24">
        <f>SUM(F66:F68)</f>
        <v>29394</v>
      </c>
      <c r="G65" s="87">
        <f>SUM(G66:G68)</f>
        <v>-1600</v>
      </c>
      <c r="H65" s="42">
        <f t="shared" si="17"/>
        <v>0.94556712254201536</v>
      </c>
    </row>
    <row r="66" spans="1:8" ht="15.75" customHeight="1" x14ac:dyDescent="0.35">
      <c r="A66" s="6" t="s">
        <v>106</v>
      </c>
      <c r="B66" s="6" t="s">
        <v>107</v>
      </c>
      <c r="C66" s="13">
        <v>2194</v>
      </c>
      <c r="D66" s="13"/>
      <c r="E66" s="21">
        <f t="shared" ref="E66:E67" si="21">C66+D66</f>
        <v>2194</v>
      </c>
      <c r="F66" s="13">
        <v>2194</v>
      </c>
      <c r="G66" s="78">
        <f t="shared" ref="G66:G67" si="22">E66-F66</f>
        <v>0</v>
      </c>
      <c r="H66" s="43">
        <f t="shared" si="17"/>
        <v>1</v>
      </c>
    </row>
    <row r="67" spans="1:8" ht="15.75" customHeight="1" x14ac:dyDescent="0.35">
      <c r="A67" s="7" t="s">
        <v>108</v>
      </c>
      <c r="B67" s="7" t="s">
        <v>109</v>
      </c>
      <c r="C67" s="9">
        <v>26600</v>
      </c>
      <c r="D67" s="9">
        <v>-1000</v>
      </c>
      <c r="E67" s="21">
        <f t="shared" si="21"/>
        <v>25600</v>
      </c>
      <c r="F67" s="9">
        <v>27200</v>
      </c>
      <c r="G67" s="78">
        <f t="shared" si="22"/>
        <v>-1600</v>
      </c>
      <c r="H67" s="43">
        <f t="shared" si="17"/>
        <v>0.94117647058823528</v>
      </c>
    </row>
    <row r="68" spans="1:8" ht="15.75" customHeight="1" thickBot="1" x14ac:dyDescent="0.4">
      <c r="A68" s="10"/>
      <c r="B68" s="10" t="s">
        <v>110</v>
      </c>
      <c r="C68" s="16"/>
      <c r="D68" s="16"/>
      <c r="E68" s="16"/>
      <c r="F68" s="16"/>
      <c r="G68" s="82"/>
      <c r="H68" s="47"/>
    </row>
    <row r="69" spans="1:8" ht="15.75" customHeight="1" thickBot="1" x14ac:dyDescent="0.4">
      <c r="A69" s="5" t="s">
        <v>111</v>
      </c>
      <c r="B69" s="5" t="s">
        <v>112</v>
      </c>
      <c r="C69" s="24">
        <f>SUM(C70:C85)</f>
        <v>1323372</v>
      </c>
      <c r="D69" s="24">
        <f>SUM(D70:D85)</f>
        <v>-40900</v>
      </c>
      <c r="E69" s="24">
        <f>SUM(E70:E85)</f>
        <v>1282472</v>
      </c>
      <c r="F69" s="24">
        <f>SUM(F70:F85)</f>
        <v>1337919</v>
      </c>
      <c r="G69" s="87">
        <f>SUM(G70:G85)</f>
        <v>-55447</v>
      </c>
      <c r="H69" s="42">
        <f t="shared" si="17"/>
        <v>0.95855728186833433</v>
      </c>
    </row>
    <row r="70" spans="1:8" ht="15.75" customHeight="1" x14ac:dyDescent="0.35">
      <c r="A70" s="6" t="s">
        <v>113</v>
      </c>
      <c r="B70" s="64" t="s">
        <v>114</v>
      </c>
      <c r="C70" s="48"/>
      <c r="D70" s="48"/>
      <c r="E70" s="48"/>
      <c r="F70" s="48"/>
      <c r="G70" s="93"/>
      <c r="H70" s="43"/>
    </row>
    <row r="71" spans="1:8" ht="15.75" customHeight="1" x14ac:dyDescent="0.35">
      <c r="A71" s="7" t="s">
        <v>115</v>
      </c>
      <c r="B71" s="54" t="s">
        <v>116</v>
      </c>
      <c r="C71" s="9"/>
      <c r="D71" s="9"/>
      <c r="E71" s="9"/>
      <c r="F71" s="9"/>
      <c r="G71" s="81"/>
      <c r="H71" s="43"/>
    </row>
    <row r="72" spans="1:8" ht="15.75" customHeight="1" x14ac:dyDescent="0.35">
      <c r="A72" s="7" t="s">
        <v>117</v>
      </c>
      <c r="B72" s="54" t="s">
        <v>118</v>
      </c>
      <c r="C72" s="33"/>
      <c r="D72" s="33"/>
      <c r="E72" s="33"/>
      <c r="F72" s="33"/>
      <c r="G72" s="94"/>
      <c r="H72" s="43"/>
    </row>
    <row r="73" spans="1:8" ht="15.75" customHeight="1" x14ac:dyDescent="0.35">
      <c r="A73" s="7" t="s">
        <v>119</v>
      </c>
      <c r="B73" s="54" t="s">
        <v>120</v>
      </c>
      <c r="C73" s="33"/>
      <c r="D73" s="33"/>
      <c r="E73" s="33"/>
      <c r="F73" s="33"/>
      <c r="G73" s="94"/>
      <c r="H73" s="43"/>
    </row>
    <row r="74" spans="1:8" ht="15.75" customHeight="1" x14ac:dyDescent="0.35">
      <c r="A74" s="7" t="s">
        <v>121</v>
      </c>
      <c r="B74" s="55" t="s">
        <v>122</v>
      </c>
      <c r="C74" s="9">
        <v>12000</v>
      </c>
      <c r="D74" s="9"/>
      <c r="E74" s="21">
        <f t="shared" ref="E74:E76" si="23">C74+D74</f>
        <v>12000</v>
      </c>
      <c r="F74" s="9">
        <v>12000</v>
      </c>
      <c r="G74" s="78">
        <f t="shared" ref="G74:G76" si="24">E74-F74</f>
        <v>0</v>
      </c>
      <c r="H74" s="43">
        <f t="shared" si="17"/>
        <v>1</v>
      </c>
    </row>
    <row r="75" spans="1:8" ht="15.75" customHeight="1" x14ac:dyDescent="0.35">
      <c r="A75" s="7" t="s">
        <v>123</v>
      </c>
      <c r="B75" s="55" t="s">
        <v>124</v>
      </c>
      <c r="C75" s="9">
        <v>42400</v>
      </c>
      <c r="D75" s="9"/>
      <c r="E75" s="21">
        <f t="shared" si="23"/>
        <v>42400</v>
      </c>
      <c r="F75" s="9">
        <v>24470</v>
      </c>
      <c r="G75" s="78">
        <f t="shared" si="24"/>
        <v>17930</v>
      </c>
      <c r="H75" s="43">
        <f t="shared" si="17"/>
        <v>1.7327339599509604</v>
      </c>
    </row>
    <row r="76" spans="1:8" ht="15.75" customHeight="1" x14ac:dyDescent="0.35">
      <c r="A76" s="7" t="s">
        <v>125</v>
      </c>
      <c r="B76" s="75" t="s">
        <v>126</v>
      </c>
      <c r="C76" s="9">
        <v>290000</v>
      </c>
      <c r="D76" s="9">
        <v>-22000</v>
      </c>
      <c r="E76" s="21">
        <f t="shared" si="23"/>
        <v>268000</v>
      </c>
      <c r="F76" s="9">
        <f>138000+181000</f>
        <v>319000</v>
      </c>
      <c r="G76" s="78">
        <f t="shared" si="24"/>
        <v>-51000</v>
      </c>
      <c r="H76" s="43">
        <f t="shared" si="17"/>
        <v>0.84012539184952983</v>
      </c>
    </row>
    <row r="77" spans="1:8" ht="15.75" customHeight="1" x14ac:dyDescent="0.35">
      <c r="A77" s="7" t="s">
        <v>127</v>
      </c>
      <c r="B77" s="55" t="s">
        <v>128</v>
      </c>
      <c r="C77" s="9"/>
      <c r="D77" s="9"/>
      <c r="E77" s="9"/>
      <c r="F77" s="9"/>
      <c r="G77" s="81"/>
      <c r="H77" s="43"/>
    </row>
    <row r="78" spans="1:8" ht="15.75" customHeight="1" x14ac:dyDescent="0.35">
      <c r="A78" s="7" t="s">
        <v>129</v>
      </c>
      <c r="B78" s="55" t="s">
        <v>130</v>
      </c>
      <c r="C78" s="33"/>
      <c r="D78" s="33"/>
      <c r="E78" s="33"/>
      <c r="F78" s="33"/>
      <c r="G78" s="94"/>
      <c r="H78" s="43"/>
    </row>
    <row r="79" spans="1:8" ht="15.75" customHeight="1" x14ac:dyDescent="0.35">
      <c r="A79" s="7" t="s">
        <v>131</v>
      </c>
      <c r="B79" s="55" t="s">
        <v>132</v>
      </c>
      <c r="C79" s="33"/>
      <c r="D79" s="33"/>
      <c r="E79" s="33"/>
      <c r="F79" s="33"/>
      <c r="G79" s="94"/>
      <c r="H79" s="43"/>
    </row>
    <row r="80" spans="1:8" ht="15.75" customHeight="1" x14ac:dyDescent="0.35">
      <c r="A80" s="7" t="s">
        <v>133</v>
      </c>
      <c r="B80" s="55" t="s">
        <v>134</v>
      </c>
      <c r="C80" s="33"/>
      <c r="D80" s="33"/>
      <c r="E80" s="33"/>
      <c r="F80" s="33"/>
      <c r="G80" s="94"/>
      <c r="H80" s="43"/>
    </row>
    <row r="81" spans="1:8" ht="15.75" customHeight="1" x14ac:dyDescent="0.35">
      <c r="A81" s="7" t="s">
        <v>135</v>
      </c>
      <c r="B81" s="55" t="s">
        <v>136</v>
      </c>
      <c r="C81" s="9">
        <v>27620</v>
      </c>
      <c r="D81" s="9">
        <v>-500</v>
      </c>
      <c r="E81" s="21">
        <f t="shared" ref="E81:E84" si="25">C81+D81</f>
        <v>27120</v>
      </c>
      <c r="F81" s="9">
        <v>40792</v>
      </c>
      <c r="G81" s="78">
        <f t="shared" ref="G81:G84" si="26">E81-F81</f>
        <v>-13672</v>
      </c>
      <c r="H81" s="43">
        <f t="shared" si="17"/>
        <v>0.66483624240047068</v>
      </c>
    </row>
    <row r="82" spans="1:8" ht="15.75" customHeight="1" x14ac:dyDescent="0.35">
      <c r="A82" s="7" t="s">
        <v>137</v>
      </c>
      <c r="B82" s="55" t="s">
        <v>138</v>
      </c>
      <c r="C82" s="9">
        <v>2000</v>
      </c>
      <c r="D82" s="9">
        <v>-400</v>
      </c>
      <c r="E82" s="21">
        <f t="shared" si="25"/>
        <v>1600</v>
      </c>
      <c r="F82" s="9">
        <v>1650</v>
      </c>
      <c r="G82" s="78">
        <f t="shared" si="26"/>
        <v>-50</v>
      </c>
      <c r="H82" s="43">
        <f t="shared" si="17"/>
        <v>0.96969696969696972</v>
      </c>
    </row>
    <row r="83" spans="1:8" ht="15.75" customHeight="1" x14ac:dyDescent="0.35">
      <c r="A83" s="7" t="s">
        <v>139</v>
      </c>
      <c r="B83" s="55" t="s">
        <v>140</v>
      </c>
      <c r="C83" s="9">
        <v>779370</v>
      </c>
      <c r="D83" s="9">
        <v>-16000</v>
      </c>
      <c r="E83" s="21">
        <f t="shared" si="25"/>
        <v>763370</v>
      </c>
      <c r="F83" s="9">
        <f>106000+676654</f>
        <v>782654</v>
      </c>
      <c r="G83" s="78">
        <f t="shared" si="26"/>
        <v>-19284</v>
      </c>
      <c r="H83" s="43">
        <f t="shared" si="17"/>
        <v>0.97536075967157898</v>
      </c>
    </row>
    <row r="84" spans="1:8" ht="15.75" customHeight="1" x14ac:dyDescent="0.35">
      <c r="A84" s="7" t="s">
        <v>141</v>
      </c>
      <c r="B84" s="54" t="s">
        <v>142</v>
      </c>
      <c r="C84" s="9">
        <v>169982</v>
      </c>
      <c r="D84" s="9">
        <v>-2000</v>
      </c>
      <c r="E84" s="21">
        <f t="shared" si="25"/>
        <v>167982</v>
      </c>
      <c r="F84" s="9">
        <f>157353</f>
        <v>157353</v>
      </c>
      <c r="G84" s="78">
        <f t="shared" si="26"/>
        <v>10629</v>
      </c>
      <c r="H84" s="43">
        <f t="shared" si="17"/>
        <v>1.0675487597948561</v>
      </c>
    </row>
    <row r="85" spans="1:8" ht="15.75" customHeight="1" thickBot="1" x14ac:dyDescent="0.4">
      <c r="A85" s="10"/>
      <c r="B85" s="56" t="s">
        <v>143</v>
      </c>
      <c r="C85" s="16"/>
      <c r="D85" s="16"/>
      <c r="E85" s="16"/>
      <c r="F85" s="16"/>
      <c r="G85" s="82"/>
      <c r="H85" s="47"/>
    </row>
    <row r="86" spans="1:8" ht="15.75" customHeight="1" thickBot="1" x14ac:dyDescent="0.4">
      <c r="A86" s="5" t="s">
        <v>144</v>
      </c>
      <c r="B86" s="5" t="s">
        <v>145</v>
      </c>
      <c r="C86" s="24">
        <f>SUM(C87:C92)</f>
        <v>607533</v>
      </c>
      <c r="D86" s="24">
        <f>SUM(D87:D92)</f>
        <v>-30000</v>
      </c>
      <c r="E86" s="24">
        <f>SUM(E87:E92)</f>
        <v>577533</v>
      </c>
      <c r="F86" s="24">
        <f>SUM(F87:F92)</f>
        <v>585985</v>
      </c>
      <c r="G86" s="87">
        <f>SUM(G87:G92)</f>
        <v>-8452</v>
      </c>
      <c r="H86" s="42">
        <f t="shared" si="17"/>
        <v>0.98557642260467415</v>
      </c>
    </row>
    <row r="87" spans="1:8" ht="15.75" customHeight="1" x14ac:dyDescent="0.35">
      <c r="A87" s="6" t="s">
        <v>146</v>
      </c>
      <c r="B87" s="53" t="s">
        <v>147</v>
      </c>
      <c r="C87" s="13">
        <v>31563</v>
      </c>
      <c r="D87" s="13"/>
      <c r="E87" s="21">
        <f t="shared" ref="E87:E91" si="27">C87+D87</f>
        <v>31563</v>
      </c>
      <c r="F87" s="13">
        <v>97109</v>
      </c>
      <c r="G87" s="78">
        <f t="shared" ref="G87:G91" si="28">E87-F87</f>
        <v>-65546</v>
      </c>
      <c r="H87" s="43">
        <f t="shared" si="17"/>
        <v>0.32502651659475434</v>
      </c>
    </row>
    <row r="88" spans="1:8" ht="15.75" customHeight="1" x14ac:dyDescent="0.35">
      <c r="A88" s="7" t="s">
        <v>148</v>
      </c>
      <c r="B88" s="55" t="s">
        <v>149</v>
      </c>
      <c r="C88" s="9">
        <v>202500</v>
      </c>
      <c r="D88" s="9"/>
      <c r="E88" s="21">
        <f t="shared" si="27"/>
        <v>202500</v>
      </c>
      <c r="F88" s="9">
        <v>135000</v>
      </c>
      <c r="G88" s="78">
        <f t="shared" si="28"/>
        <v>67500</v>
      </c>
      <c r="H88" s="43">
        <f t="shared" si="17"/>
        <v>1.5</v>
      </c>
    </row>
    <row r="89" spans="1:8" ht="15.75" customHeight="1" x14ac:dyDescent="0.35">
      <c r="A89" s="7" t="s">
        <v>150</v>
      </c>
      <c r="B89" s="55" t="s">
        <v>151</v>
      </c>
      <c r="C89" s="9">
        <f>250+25000</f>
        <v>25250</v>
      </c>
      <c r="D89" s="9"/>
      <c r="E89" s="21">
        <f t="shared" si="27"/>
        <v>25250</v>
      </c>
      <c r="F89" s="9">
        <f>300+20000+21000</f>
        <v>41300</v>
      </c>
      <c r="G89" s="78">
        <f t="shared" si="28"/>
        <v>-16050</v>
      </c>
      <c r="H89" s="43">
        <f t="shared" si="17"/>
        <v>0.61138014527845042</v>
      </c>
    </row>
    <row r="90" spans="1:8" ht="15.75" customHeight="1" x14ac:dyDescent="0.35">
      <c r="A90" s="7" t="s">
        <v>152</v>
      </c>
      <c r="B90" s="55" t="s">
        <v>153</v>
      </c>
      <c r="C90" s="9">
        <f>3000</f>
        <v>3000</v>
      </c>
      <c r="D90" s="9"/>
      <c r="E90" s="21">
        <f t="shared" si="27"/>
        <v>3000</v>
      </c>
      <c r="F90" s="9">
        <v>20000</v>
      </c>
      <c r="G90" s="78">
        <f t="shared" si="28"/>
        <v>-17000</v>
      </c>
      <c r="H90" s="43">
        <f t="shared" si="17"/>
        <v>0.15</v>
      </c>
    </row>
    <row r="91" spans="1:8" ht="15.75" customHeight="1" x14ac:dyDescent="0.35">
      <c r="A91" s="7" t="s">
        <v>154</v>
      </c>
      <c r="B91" s="54" t="s">
        <v>155</v>
      </c>
      <c r="C91" s="9">
        <v>345220</v>
      </c>
      <c r="D91" s="9">
        <v>-30000</v>
      </c>
      <c r="E91" s="21">
        <f t="shared" si="27"/>
        <v>315220</v>
      </c>
      <c r="F91" s="9">
        <v>292576</v>
      </c>
      <c r="G91" s="78">
        <f t="shared" si="28"/>
        <v>22644</v>
      </c>
      <c r="H91" s="43">
        <f t="shared" si="17"/>
        <v>1.0773952750738269</v>
      </c>
    </row>
    <row r="92" spans="1:8" ht="15.75" customHeight="1" thickBot="1" x14ac:dyDescent="0.4">
      <c r="A92" s="10"/>
      <c r="B92" s="56" t="s">
        <v>156</v>
      </c>
      <c r="C92" s="16"/>
      <c r="D92" s="16"/>
      <c r="E92" s="16"/>
      <c r="F92" s="16"/>
      <c r="G92" s="82"/>
      <c r="H92" s="47"/>
    </row>
    <row r="93" spans="1:8" ht="15.75" customHeight="1" thickBot="1" x14ac:dyDescent="0.4">
      <c r="A93" s="5" t="s">
        <v>157</v>
      </c>
      <c r="B93" s="12" t="s">
        <v>158</v>
      </c>
      <c r="C93" s="24">
        <f>SUM(C94:C99)</f>
        <v>189241</v>
      </c>
      <c r="D93" s="24">
        <f>SUM(D94:D99)</f>
        <v>-5700</v>
      </c>
      <c r="E93" s="24">
        <f>SUM(E94:E99)</f>
        <v>183541</v>
      </c>
      <c r="F93" s="24">
        <f>SUM(F94:F99)</f>
        <v>222551</v>
      </c>
      <c r="G93" s="87">
        <f>SUM(G94:G99)</f>
        <v>-39010</v>
      </c>
      <c r="H93" s="42">
        <f t="shared" si="17"/>
        <v>0.82471433514115866</v>
      </c>
    </row>
    <row r="94" spans="1:8" ht="15.75" customHeight="1" x14ac:dyDescent="0.35">
      <c r="A94" s="6" t="s">
        <v>159</v>
      </c>
      <c r="B94" s="64" t="s">
        <v>160</v>
      </c>
      <c r="C94" s="13">
        <f>44100+12000</f>
        <v>56100</v>
      </c>
      <c r="D94" s="13">
        <v>-4000</v>
      </c>
      <c r="E94" s="21">
        <f t="shared" ref="E94" si="29">C94+D94</f>
        <v>52100</v>
      </c>
      <c r="F94" s="13">
        <f>44100+8000</f>
        <v>52100</v>
      </c>
      <c r="G94" s="78">
        <f t="shared" ref="G94" si="30">E94-F94</f>
        <v>0</v>
      </c>
      <c r="H94" s="43">
        <f t="shared" si="17"/>
        <v>1</v>
      </c>
    </row>
    <row r="95" spans="1:8" ht="15.75" customHeight="1" x14ac:dyDescent="0.35">
      <c r="A95" s="7" t="s">
        <v>161</v>
      </c>
      <c r="B95" s="54" t="s">
        <v>162</v>
      </c>
      <c r="C95" s="9"/>
      <c r="D95" s="9"/>
      <c r="E95" s="9"/>
      <c r="F95" s="9"/>
      <c r="G95" s="81"/>
      <c r="H95" s="43"/>
    </row>
    <row r="96" spans="1:8" ht="15.75" customHeight="1" x14ac:dyDescent="0.35">
      <c r="A96" s="7" t="s">
        <v>163</v>
      </c>
      <c r="B96" s="54" t="s">
        <v>164</v>
      </c>
      <c r="C96" s="9">
        <v>20000</v>
      </c>
      <c r="D96" s="9"/>
      <c r="E96" s="21">
        <f t="shared" ref="E96:E98" si="31">C96+D96</f>
        <v>20000</v>
      </c>
      <c r="F96" s="9">
        <v>45000</v>
      </c>
      <c r="G96" s="78">
        <f t="shared" ref="G96:G98" si="32">E96-F96</f>
        <v>-25000</v>
      </c>
      <c r="H96" s="43">
        <f t="shared" si="17"/>
        <v>0.44444444444444442</v>
      </c>
    </row>
    <row r="97" spans="1:8" ht="15.75" customHeight="1" x14ac:dyDescent="0.35">
      <c r="A97" s="7" t="s">
        <v>165</v>
      </c>
      <c r="B97" s="54" t="s">
        <v>166</v>
      </c>
      <c r="C97" s="9">
        <v>57000</v>
      </c>
      <c r="D97" s="9"/>
      <c r="E97" s="21">
        <f t="shared" si="31"/>
        <v>57000</v>
      </c>
      <c r="F97" s="9">
        <f>62000+10000</f>
        <v>72000</v>
      </c>
      <c r="G97" s="78">
        <f t="shared" si="32"/>
        <v>-15000</v>
      </c>
      <c r="H97" s="43">
        <f t="shared" si="17"/>
        <v>0.79166666666666663</v>
      </c>
    </row>
    <row r="98" spans="1:8" ht="15.75" customHeight="1" x14ac:dyDescent="0.35">
      <c r="A98" s="7" t="s">
        <v>167</v>
      </c>
      <c r="B98" s="54" t="s">
        <v>168</v>
      </c>
      <c r="C98" s="9">
        <v>56141</v>
      </c>
      <c r="D98" s="9">
        <v>-1700</v>
      </c>
      <c r="E98" s="21">
        <f t="shared" si="31"/>
        <v>54441</v>
      </c>
      <c r="F98" s="9">
        <v>53451</v>
      </c>
      <c r="G98" s="78">
        <f t="shared" si="32"/>
        <v>990</v>
      </c>
      <c r="H98" s="43">
        <f t="shared" si="17"/>
        <v>1.018521636639165</v>
      </c>
    </row>
    <row r="99" spans="1:8" ht="15.75" customHeight="1" thickBot="1" x14ac:dyDescent="0.4">
      <c r="A99" s="10"/>
      <c r="B99" s="65" t="s">
        <v>169</v>
      </c>
      <c r="C99" s="16"/>
      <c r="D99" s="16"/>
      <c r="E99" s="16"/>
      <c r="F99" s="16"/>
      <c r="G99" s="82"/>
      <c r="H99" s="47"/>
    </row>
    <row r="100" spans="1:8" ht="15.75" customHeight="1" thickBot="1" x14ac:dyDescent="0.4">
      <c r="A100" s="5" t="s">
        <v>170</v>
      </c>
      <c r="B100" s="5" t="s">
        <v>171</v>
      </c>
      <c r="C100" s="24">
        <f>SUM(C101:C106)</f>
        <v>602850</v>
      </c>
      <c r="D100" s="24">
        <f>SUM(D101:D106)</f>
        <v>-800</v>
      </c>
      <c r="E100" s="24">
        <f>SUM(E101:E106)</f>
        <v>602050</v>
      </c>
      <c r="F100" s="24">
        <f>SUM(F101:F106)</f>
        <v>13800</v>
      </c>
      <c r="G100" s="87">
        <f>SUM(G101:G106)</f>
        <v>588250</v>
      </c>
      <c r="H100" s="42"/>
    </row>
    <row r="101" spans="1:8" ht="15.75" customHeight="1" x14ac:dyDescent="0.35">
      <c r="A101" s="6" t="s">
        <v>172</v>
      </c>
      <c r="B101" s="66" t="s">
        <v>173</v>
      </c>
      <c r="C101" s="28"/>
      <c r="D101" s="28"/>
      <c r="E101" s="28"/>
      <c r="F101" s="28"/>
      <c r="G101" s="95"/>
      <c r="H101" s="43"/>
    </row>
    <row r="102" spans="1:8" ht="15.75" customHeight="1" x14ac:dyDescent="0.35">
      <c r="A102" s="7" t="s">
        <v>174</v>
      </c>
      <c r="B102" s="67" t="s">
        <v>175</v>
      </c>
      <c r="C102" s="33"/>
      <c r="D102" s="33"/>
      <c r="E102" s="33"/>
      <c r="F102" s="33"/>
      <c r="G102" s="94"/>
      <c r="H102" s="43"/>
    </row>
    <row r="103" spans="1:8" ht="15.75" customHeight="1" x14ac:dyDescent="0.35">
      <c r="A103" s="7" t="s">
        <v>176</v>
      </c>
      <c r="B103" s="67" t="s">
        <v>177</v>
      </c>
      <c r="C103" s="33"/>
      <c r="D103" s="33"/>
      <c r="E103" s="33"/>
      <c r="F103" s="33"/>
      <c r="G103" s="94"/>
      <c r="H103" s="43"/>
    </row>
    <row r="104" spans="1:8" ht="15.75" customHeight="1" x14ac:dyDescent="0.35">
      <c r="A104" s="7" t="s">
        <v>178</v>
      </c>
      <c r="B104" s="67" t="s">
        <v>179</v>
      </c>
      <c r="C104" s="33"/>
      <c r="D104" s="33"/>
      <c r="E104" s="33"/>
      <c r="F104" s="33"/>
      <c r="G104" s="94"/>
      <c r="H104" s="43"/>
    </row>
    <row r="105" spans="1:8" ht="15.75" customHeight="1" x14ac:dyDescent="0.35">
      <c r="A105" s="7" t="s">
        <v>180</v>
      </c>
      <c r="B105" s="68" t="s">
        <v>181</v>
      </c>
      <c r="C105" s="33">
        <v>600000</v>
      </c>
      <c r="D105" s="33"/>
      <c r="E105" s="21">
        <f t="shared" ref="E105:E106" si="33">C105+D105</f>
        <v>600000</v>
      </c>
      <c r="F105" s="33">
        <v>0</v>
      </c>
      <c r="G105" s="78">
        <f t="shared" ref="G105:G106" si="34">E105-F105</f>
        <v>600000</v>
      </c>
      <c r="H105" s="44"/>
    </row>
    <row r="106" spans="1:8" ht="15.75" customHeight="1" thickBot="1" x14ac:dyDescent="0.4">
      <c r="A106" s="10"/>
      <c r="B106" s="69" t="s">
        <v>182</v>
      </c>
      <c r="C106" s="16">
        <v>2850</v>
      </c>
      <c r="D106" s="16">
        <v>-800</v>
      </c>
      <c r="E106" s="21">
        <f t="shared" si="33"/>
        <v>2050</v>
      </c>
      <c r="F106" s="16">
        <v>13800</v>
      </c>
      <c r="G106" s="78">
        <f t="shared" si="34"/>
        <v>-11750</v>
      </c>
      <c r="H106" s="76">
        <f t="shared" si="17"/>
        <v>0.14855072463768115</v>
      </c>
    </row>
    <row r="107" spans="1:8" ht="15.75" customHeight="1" thickBot="1" x14ac:dyDescent="0.4">
      <c r="A107" s="5" t="s">
        <v>183</v>
      </c>
      <c r="B107" s="12" t="s">
        <v>184</v>
      </c>
      <c r="C107" s="24">
        <f>SUM(C108:C124)</f>
        <v>1090058</v>
      </c>
      <c r="D107" s="24">
        <f>SUM(D108:D124)</f>
        <v>-60200</v>
      </c>
      <c r="E107" s="24">
        <f>SUM(E108:E124)</f>
        <v>1029858</v>
      </c>
      <c r="F107" s="24">
        <f>SUM(F108:F124)</f>
        <v>1111608.3900000001</v>
      </c>
      <c r="G107" s="87">
        <f>SUM(G108:G124)</f>
        <v>-81750.390000000014</v>
      </c>
      <c r="H107" s="42">
        <f t="shared" si="17"/>
        <v>0.92645756299122561</v>
      </c>
    </row>
    <row r="108" spans="1:8" ht="15.75" customHeight="1" x14ac:dyDescent="0.35">
      <c r="A108" s="6" t="s">
        <v>185</v>
      </c>
      <c r="B108" s="70" t="s">
        <v>186</v>
      </c>
      <c r="C108" s="13">
        <v>116934</v>
      </c>
      <c r="D108" s="13"/>
      <c r="E108" s="21">
        <f t="shared" ref="E108:E114" si="35">C108+D108</f>
        <v>116934</v>
      </c>
      <c r="F108" s="13">
        <f>99945+50000</f>
        <v>149945</v>
      </c>
      <c r="G108" s="78">
        <f t="shared" ref="G108:G114" si="36">E108-F108</f>
        <v>-33011</v>
      </c>
      <c r="H108" s="43">
        <f t="shared" si="17"/>
        <v>0.77984594351262126</v>
      </c>
    </row>
    <row r="109" spans="1:8" ht="15.75" customHeight="1" x14ac:dyDescent="0.35">
      <c r="A109" s="7" t="s">
        <v>187</v>
      </c>
      <c r="B109" s="55" t="s">
        <v>188</v>
      </c>
      <c r="C109" s="9">
        <f>9700+10000</f>
        <v>19700</v>
      </c>
      <c r="D109" s="9">
        <v>-7000</v>
      </c>
      <c r="E109" s="21">
        <f t="shared" si="35"/>
        <v>12700</v>
      </c>
      <c r="F109" s="9">
        <v>5950</v>
      </c>
      <c r="G109" s="78">
        <f t="shared" si="36"/>
        <v>6750</v>
      </c>
      <c r="H109" s="43">
        <f t="shared" si="17"/>
        <v>2.134453781512605</v>
      </c>
    </row>
    <row r="110" spans="1:8" ht="15.75" customHeight="1" x14ac:dyDescent="0.35">
      <c r="A110" s="7" t="s">
        <v>189</v>
      </c>
      <c r="B110" s="55" t="s">
        <v>190</v>
      </c>
      <c r="C110" s="9">
        <v>168812</v>
      </c>
      <c r="D110" s="9">
        <v>-1300</v>
      </c>
      <c r="E110" s="21">
        <f t="shared" si="35"/>
        <v>167512</v>
      </c>
      <c r="F110" s="9">
        <v>148060</v>
      </c>
      <c r="G110" s="78">
        <f t="shared" si="36"/>
        <v>19452</v>
      </c>
      <c r="H110" s="43">
        <f t="shared" si="17"/>
        <v>1.1313791706065108</v>
      </c>
    </row>
    <row r="111" spans="1:8" ht="15.75" customHeight="1" x14ac:dyDescent="0.35">
      <c r="A111" s="7" t="s">
        <v>191</v>
      </c>
      <c r="B111" s="55" t="s">
        <v>192</v>
      </c>
      <c r="C111" s="9">
        <v>32000</v>
      </c>
      <c r="D111" s="9"/>
      <c r="E111" s="21">
        <f t="shared" si="35"/>
        <v>32000</v>
      </c>
      <c r="F111" s="9">
        <v>34000</v>
      </c>
      <c r="G111" s="78">
        <f t="shared" si="36"/>
        <v>-2000</v>
      </c>
      <c r="H111" s="43">
        <f t="shared" si="17"/>
        <v>0.94117647058823528</v>
      </c>
    </row>
    <row r="112" spans="1:8" ht="15.75" customHeight="1" x14ac:dyDescent="0.35">
      <c r="A112" s="7" t="s">
        <v>193</v>
      </c>
      <c r="B112" s="55" t="s">
        <v>194</v>
      </c>
      <c r="C112" s="9">
        <v>169158</v>
      </c>
      <c r="D112" s="9">
        <v>-5600</v>
      </c>
      <c r="E112" s="21">
        <f t="shared" si="35"/>
        <v>163558</v>
      </c>
      <c r="F112" s="9">
        <v>160010</v>
      </c>
      <c r="G112" s="78">
        <f t="shared" si="36"/>
        <v>3548</v>
      </c>
      <c r="H112" s="43">
        <f t="shared" si="17"/>
        <v>1.0221736141491158</v>
      </c>
    </row>
    <row r="113" spans="1:8" ht="15.75" customHeight="1" x14ac:dyDescent="0.35">
      <c r="A113" s="7" t="s">
        <v>195</v>
      </c>
      <c r="B113" s="55" t="s">
        <v>196</v>
      </c>
      <c r="C113" s="9">
        <f>389089+22000</f>
        <v>411089</v>
      </c>
      <c r="D113" s="9">
        <v>-39460</v>
      </c>
      <c r="E113" s="21">
        <f t="shared" si="35"/>
        <v>371629</v>
      </c>
      <c r="F113" s="9">
        <f>383922.39+79700</f>
        <v>463622.39</v>
      </c>
      <c r="G113" s="78">
        <f t="shared" si="36"/>
        <v>-91993.390000000014</v>
      </c>
      <c r="H113" s="43">
        <f t="shared" si="17"/>
        <v>0.80157690399723791</v>
      </c>
    </row>
    <row r="114" spans="1:8" ht="15.75" customHeight="1" x14ac:dyDescent="0.35">
      <c r="A114" s="7" t="s">
        <v>197</v>
      </c>
      <c r="B114" s="55" t="s">
        <v>198</v>
      </c>
      <c r="C114" s="9">
        <v>56565</v>
      </c>
      <c r="D114" s="9">
        <v>-2340</v>
      </c>
      <c r="E114" s="21">
        <f t="shared" si="35"/>
        <v>54225</v>
      </c>
      <c r="F114" s="9">
        <f>28051+14000</f>
        <v>42051</v>
      </c>
      <c r="G114" s="78">
        <f t="shared" si="36"/>
        <v>12174</v>
      </c>
      <c r="H114" s="43">
        <f t="shared" si="17"/>
        <v>1.2895056003424412</v>
      </c>
    </row>
    <row r="115" spans="1:8" ht="15.75" customHeight="1" x14ac:dyDescent="0.35">
      <c r="A115" s="7" t="s">
        <v>199</v>
      </c>
      <c r="B115" s="55" t="s">
        <v>200</v>
      </c>
      <c r="C115" s="9"/>
      <c r="D115" s="9"/>
      <c r="E115" s="9"/>
      <c r="F115" s="9"/>
      <c r="G115" s="81"/>
      <c r="H115" s="43"/>
    </row>
    <row r="116" spans="1:8" ht="15.75" customHeight="1" x14ac:dyDescent="0.35">
      <c r="A116" s="7" t="s">
        <v>201</v>
      </c>
      <c r="B116" s="55" t="s">
        <v>202</v>
      </c>
      <c r="C116" s="9">
        <v>13480</v>
      </c>
      <c r="D116" s="9"/>
      <c r="E116" s="21">
        <f t="shared" ref="E116" si="37">C116+D116</f>
        <v>13480</v>
      </c>
      <c r="F116" s="9">
        <v>13150</v>
      </c>
      <c r="G116" s="78">
        <f t="shared" ref="G116" si="38">E116-F116</f>
        <v>330</v>
      </c>
      <c r="H116" s="43">
        <f t="shared" si="17"/>
        <v>1.0250950570342205</v>
      </c>
    </row>
    <row r="117" spans="1:8" ht="15.75" customHeight="1" x14ac:dyDescent="0.35">
      <c r="A117" s="7" t="s">
        <v>203</v>
      </c>
      <c r="B117" s="55" t="s">
        <v>204</v>
      </c>
      <c r="C117" s="9"/>
      <c r="D117" s="9"/>
      <c r="E117" s="9"/>
      <c r="F117" s="9"/>
      <c r="G117" s="81"/>
      <c r="H117" s="43"/>
    </row>
    <row r="118" spans="1:8" ht="15.75" customHeight="1" x14ac:dyDescent="0.35">
      <c r="A118" s="7" t="s">
        <v>205</v>
      </c>
      <c r="B118" s="55" t="s">
        <v>206</v>
      </c>
      <c r="C118" s="9"/>
      <c r="D118" s="9"/>
      <c r="E118" s="9"/>
      <c r="F118" s="9"/>
      <c r="G118" s="81"/>
      <c r="H118" s="43"/>
    </row>
    <row r="119" spans="1:8" ht="15.75" customHeight="1" x14ac:dyDescent="0.35">
      <c r="A119" s="7" t="s">
        <v>207</v>
      </c>
      <c r="B119" s="55" t="s">
        <v>208</v>
      </c>
      <c r="C119" s="9"/>
      <c r="D119" s="9"/>
      <c r="E119" s="9"/>
      <c r="F119" s="9"/>
      <c r="G119" s="81"/>
      <c r="H119" s="43"/>
    </row>
    <row r="120" spans="1:8" ht="15.75" customHeight="1" x14ac:dyDescent="0.35">
      <c r="A120" s="7" t="s">
        <v>209</v>
      </c>
      <c r="B120" s="55" t="s">
        <v>210</v>
      </c>
      <c r="C120" s="9"/>
      <c r="D120" s="9"/>
      <c r="E120" s="9"/>
      <c r="F120" s="9"/>
      <c r="G120" s="81"/>
      <c r="H120" s="43"/>
    </row>
    <row r="121" spans="1:8" ht="15.75" customHeight="1" x14ac:dyDescent="0.35">
      <c r="A121" s="7" t="s">
        <v>211</v>
      </c>
      <c r="B121" s="54" t="s">
        <v>212</v>
      </c>
      <c r="C121" s="9">
        <v>32000</v>
      </c>
      <c r="D121" s="9">
        <v>-2000</v>
      </c>
      <c r="E121" s="21">
        <f t="shared" ref="E121:E123" si="39">C121+D121</f>
        <v>30000</v>
      </c>
      <c r="F121" s="9">
        <v>29500</v>
      </c>
      <c r="G121" s="78">
        <f t="shared" ref="G121:G123" si="40">E121-F121</f>
        <v>500</v>
      </c>
      <c r="H121" s="43">
        <f t="shared" ref="H121:H152" si="41">E121/F121</f>
        <v>1.0169491525423728</v>
      </c>
    </row>
    <row r="122" spans="1:8" ht="15.75" customHeight="1" x14ac:dyDescent="0.35">
      <c r="A122" s="7" t="s">
        <v>213</v>
      </c>
      <c r="B122" s="54" t="s">
        <v>214</v>
      </c>
      <c r="C122" s="9">
        <v>35120</v>
      </c>
      <c r="D122" s="9"/>
      <c r="E122" s="21">
        <f t="shared" si="39"/>
        <v>35120</v>
      </c>
      <c r="F122" s="9">
        <v>35120</v>
      </c>
      <c r="G122" s="78">
        <f t="shared" si="40"/>
        <v>0</v>
      </c>
      <c r="H122" s="43">
        <f t="shared" si="41"/>
        <v>1</v>
      </c>
    </row>
    <row r="123" spans="1:8" ht="15.75" customHeight="1" x14ac:dyDescent="0.35">
      <c r="A123" s="7" t="s">
        <v>215</v>
      </c>
      <c r="B123" s="54" t="s">
        <v>216</v>
      </c>
      <c r="C123" s="9">
        <v>35200</v>
      </c>
      <c r="D123" s="9">
        <v>-2500</v>
      </c>
      <c r="E123" s="21">
        <f t="shared" si="39"/>
        <v>32700</v>
      </c>
      <c r="F123" s="9">
        <v>30200</v>
      </c>
      <c r="G123" s="78">
        <f t="shared" si="40"/>
        <v>2500</v>
      </c>
      <c r="H123" s="43">
        <f t="shared" si="41"/>
        <v>1.0827814569536425</v>
      </c>
    </row>
    <row r="124" spans="1:8" ht="15.75" customHeight="1" thickBot="1" x14ac:dyDescent="0.4">
      <c r="A124" s="10"/>
      <c r="B124" s="56"/>
      <c r="C124" s="16"/>
      <c r="D124" s="16"/>
      <c r="E124" s="16"/>
      <c r="F124" s="16"/>
      <c r="G124" s="82"/>
      <c r="H124" s="47"/>
    </row>
    <row r="125" spans="1:8" ht="15.75" customHeight="1" thickBot="1" x14ac:dyDescent="0.4">
      <c r="A125" s="5" t="s">
        <v>217</v>
      </c>
      <c r="B125" s="5" t="s">
        <v>218</v>
      </c>
      <c r="C125" s="24">
        <f>SUM(C126:C137)</f>
        <v>6458416</v>
      </c>
      <c r="D125" s="24">
        <f>SUM(D126:D137)</f>
        <v>-58935</v>
      </c>
      <c r="E125" s="24">
        <f>SUM(E126:E137)</f>
        <v>6399481</v>
      </c>
      <c r="F125" s="24">
        <f>SUM(F126:F137)</f>
        <v>5021563.5999999996</v>
      </c>
      <c r="G125" s="87">
        <f>SUM(G126:G137)</f>
        <v>1377917.4000000004</v>
      </c>
      <c r="H125" s="42">
        <f t="shared" si="41"/>
        <v>1.2744000693329864</v>
      </c>
    </row>
    <row r="126" spans="1:8" ht="15.75" customHeight="1" x14ac:dyDescent="0.35">
      <c r="A126" s="6" t="s">
        <v>219</v>
      </c>
      <c r="B126" s="64" t="s">
        <v>220</v>
      </c>
      <c r="C126" s="13">
        <v>1705765</v>
      </c>
      <c r="D126" s="13">
        <v>-19310</v>
      </c>
      <c r="E126" s="21">
        <f t="shared" ref="E126:E127" si="42">C126+D126</f>
        <v>1686455</v>
      </c>
      <c r="F126" s="13">
        <f>1424571+2500</f>
        <v>1427071</v>
      </c>
      <c r="G126" s="78">
        <f t="shared" ref="G126:G127" si="43">E126-F126</f>
        <v>259384</v>
      </c>
      <c r="H126" s="43">
        <f t="shared" si="41"/>
        <v>1.1817597022152366</v>
      </c>
    </row>
    <row r="127" spans="1:8" ht="15.75" customHeight="1" x14ac:dyDescent="0.35">
      <c r="A127" s="19" t="s">
        <v>221</v>
      </c>
      <c r="B127" s="71" t="s">
        <v>222</v>
      </c>
      <c r="C127" s="9">
        <v>4228095</v>
      </c>
      <c r="D127" s="9">
        <v>-54140</v>
      </c>
      <c r="E127" s="21">
        <f t="shared" si="42"/>
        <v>4173955</v>
      </c>
      <c r="F127" s="9">
        <f>2761223.8+161483+76156.8</f>
        <v>2998863.5999999996</v>
      </c>
      <c r="G127" s="78">
        <f t="shared" si="43"/>
        <v>1175091.4000000004</v>
      </c>
      <c r="H127" s="43">
        <f t="shared" si="41"/>
        <v>1.3918455644331407</v>
      </c>
    </row>
    <row r="128" spans="1:8" ht="15.75" customHeight="1" x14ac:dyDescent="0.35">
      <c r="A128" s="19" t="s">
        <v>223</v>
      </c>
      <c r="B128" s="54" t="s">
        <v>224</v>
      </c>
      <c r="C128" s="9"/>
      <c r="D128" s="9"/>
      <c r="E128" s="9"/>
      <c r="F128" s="9"/>
      <c r="G128" s="81"/>
      <c r="H128" s="43"/>
    </row>
    <row r="129" spans="1:8" ht="15.75" customHeight="1" x14ac:dyDescent="0.35">
      <c r="A129" s="7" t="s">
        <v>225</v>
      </c>
      <c r="B129" s="54" t="s">
        <v>226</v>
      </c>
      <c r="C129" s="9"/>
      <c r="D129" s="9"/>
      <c r="E129" s="9"/>
      <c r="F129" s="9"/>
      <c r="G129" s="81"/>
      <c r="H129" s="43"/>
    </row>
    <row r="130" spans="1:8" ht="15.75" customHeight="1" x14ac:dyDescent="0.35">
      <c r="A130" s="7" t="s">
        <v>227</v>
      </c>
      <c r="B130" s="54" t="s">
        <v>228</v>
      </c>
      <c r="C130" s="9"/>
      <c r="D130" s="9"/>
      <c r="E130" s="9"/>
      <c r="F130" s="9"/>
      <c r="G130" s="81"/>
      <c r="H130" s="43"/>
    </row>
    <row r="131" spans="1:8" ht="15.75" customHeight="1" x14ac:dyDescent="0.35">
      <c r="A131" s="7" t="s">
        <v>229</v>
      </c>
      <c r="B131" s="54" t="s">
        <v>230</v>
      </c>
      <c r="C131" s="9">
        <v>332890</v>
      </c>
      <c r="D131" s="9">
        <v>15515</v>
      </c>
      <c r="E131" s="21">
        <f t="shared" ref="E131:E135" si="44">C131+D131</f>
        <v>348405</v>
      </c>
      <c r="F131" s="9">
        <v>404362</v>
      </c>
      <c r="G131" s="78">
        <f t="shared" ref="G131:G135" si="45">E131-F131</f>
        <v>-55957</v>
      </c>
      <c r="H131" s="43">
        <f t="shared" si="41"/>
        <v>0.86161657129008162</v>
      </c>
    </row>
    <row r="132" spans="1:8" ht="15.75" customHeight="1" x14ac:dyDescent="0.35">
      <c r="A132" s="7" t="s">
        <v>231</v>
      </c>
      <c r="B132" s="54" t="s">
        <v>232</v>
      </c>
      <c r="C132" s="9">
        <v>3000</v>
      </c>
      <c r="D132" s="9">
        <v>-1000</v>
      </c>
      <c r="E132" s="21">
        <f t="shared" si="44"/>
        <v>2000</v>
      </c>
      <c r="F132" s="9">
        <v>1000</v>
      </c>
      <c r="G132" s="78">
        <f t="shared" si="45"/>
        <v>1000</v>
      </c>
      <c r="H132" s="43">
        <f t="shared" si="41"/>
        <v>2</v>
      </c>
    </row>
    <row r="133" spans="1:8" ht="15.75" customHeight="1" x14ac:dyDescent="0.35">
      <c r="A133" s="7" t="s">
        <v>233</v>
      </c>
      <c r="B133" s="54" t="s">
        <v>234</v>
      </c>
      <c r="C133" s="9">
        <v>157685</v>
      </c>
      <c r="D133" s="9"/>
      <c r="E133" s="21">
        <f t="shared" si="44"/>
        <v>157685</v>
      </c>
      <c r="F133" s="9">
        <v>149318</v>
      </c>
      <c r="G133" s="78">
        <f t="shared" si="45"/>
        <v>8367</v>
      </c>
      <c r="H133" s="43">
        <f t="shared" si="41"/>
        <v>1.0560347714274234</v>
      </c>
    </row>
    <row r="134" spans="1:8" ht="15.75" customHeight="1" x14ac:dyDescent="0.35">
      <c r="A134" s="7" t="s">
        <v>235</v>
      </c>
      <c r="B134" s="54" t="s">
        <v>236</v>
      </c>
      <c r="C134" s="9">
        <v>26981</v>
      </c>
      <c r="D134" s="9"/>
      <c r="E134" s="21">
        <f t="shared" si="44"/>
        <v>26981</v>
      </c>
      <c r="F134" s="9">
        <v>37449</v>
      </c>
      <c r="G134" s="78">
        <f t="shared" si="45"/>
        <v>-10468</v>
      </c>
      <c r="H134" s="43">
        <f t="shared" si="41"/>
        <v>0.72047317685385459</v>
      </c>
    </row>
    <row r="135" spans="1:8" ht="15.75" customHeight="1" x14ac:dyDescent="0.35">
      <c r="A135" s="7" t="s">
        <v>237</v>
      </c>
      <c r="B135" s="54" t="s">
        <v>238</v>
      </c>
      <c r="C135" s="9">
        <v>4000</v>
      </c>
      <c r="D135" s="9"/>
      <c r="E135" s="21">
        <f t="shared" si="44"/>
        <v>4000</v>
      </c>
      <c r="F135" s="9">
        <v>3500</v>
      </c>
      <c r="G135" s="78">
        <f t="shared" si="45"/>
        <v>500</v>
      </c>
      <c r="H135" s="43">
        <f t="shared" si="41"/>
        <v>1.1428571428571428</v>
      </c>
    </row>
    <row r="136" spans="1:8" ht="15.75" customHeight="1" x14ac:dyDescent="0.35">
      <c r="A136" s="7" t="s">
        <v>239</v>
      </c>
      <c r="B136" s="54" t="s">
        <v>240</v>
      </c>
      <c r="C136" s="9"/>
      <c r="D136" s="9"/>
      <c r="E136" s="9"/>
      <c r="F136" s="9"/>
      <c r="G136" s="81"/>
      <c r="H136" s="43"/>
    </row>
    <row r="137" spans="1:8" ht="15.75" customHeight="1" thickBot="1" x14ac:dyDescent="0.4">
      <c r="A137" s="10"/>
      <c r="B137" s="65" t="s">
        <v>241</v>
      </c>
      <c r="C137" s="16"/>
      <c r="D137" s="16"/>
      <c r="E137" s="16"/>
      <c r="F137" s="16"/>
      <c r="G137" s="82"/>
      <c r="H137" s="47"/>
    </row>
    <row r="138" spans="1:8" ht="15.75" customHeight="1" thickBot="1" x14ac:dyDescent="0.4">
      <c r="A138" s="5" t="s">
        <v>242</v>
      </c>
      <c r="B138" s="12" t="s">
        <v>243</v>
      </c>
      <c r="C138" s="24">
        <f>SUM(C139:C153)</f>
        <v>1266324</v>
      </c>
      <c r="D138" s="24">
        <f>SUM(D139:D153)</f>
        <v>171361</v>
      </c>
      <c r="E138" s="24">
        <f>SUM(E139:E153)</f>
        <v>1437685</v>
      </c>
      <c r="F138" s="24">
        <f>SUM(F139:F153)</f>
        <v>1462923.8900000001</v>
      </c>
      <c r="G138" s="87">
        <f>SUM(G139:G153)</f>
        <v>-25238.889999999985</v>
      </c>
      <c r="H138" s="42">
        <f t="shared" si="41"/>
        <v>0.98274763972854384</v>
      </c>
    </row>
    <row r="139" spans="1:8" ht="15.75" customHeight="1" x14ac:dyDescent="0.35">
      <c r="A139" s="6" t="s">
        <v>244</v>
      </c>
      <c r="B139" s="64" t="s">
        <v>245</v>
      </c>
      <c r="C139" s="13">
        <v>6500</v>
      </c>
      <c r="D139" s="13"/>
      <c r="E139" s="21">
        <f t="shared" ref="E139" si="46">C139+D139</f>
        <v>6500</v>
      </c>
      <c r="F139" s="13">
        <v>6250</v>
      </c>
      <c r="G139" s="78">
        <f t="shared" ref="G139" si="47">E139-F139</f>
        <v>250</v>
      </c>
      <c r="H139" s="43">
        <f t="shared" si="41"/>
        <v>1.04</v>
      </c>
    </row>
    <row r="140" spans="1:8" ht="15.75" customHeight="1" x14ac:dyDescent="0.35">
      <c r="A140" s="7" t="s">
        <v>246</v>
      </c>
      <c r="B140" s="54" t="s">
        <v>247</v>
      </c>
      <c r="C140" s="9"/>
      <c r="D140" s="9"/>
      <c r="E140" s="9"/>
      <c r="F140" s="9"/>
      <c r="G140" s="81"/>
      <c r="H140" s="43"/>
    </row>
    <row r="141" spans="1:8" ht="15.75" customHeight="1" x14ac:dyDescent="0.35">
      <c r="A141" s="7" t="s">
        <v>248</v>
      </c>
      <c r="B141" s="54" t="s">
        <v>249</v>
      </c>
      <c r="C141" s="9">
        <v>116220</v>
      </c>
      <c r="D141" s="9">
        <v>-12690</v>
      </c>
      <c r="E141" s="21">
        <f t="shared" ref="E141:E143" si="48">C141+D141</f>
        <v>103530</v>
      </c>
      <c r="F141" s="9">
        <v>113607</v>
      </c>
      <c r="G141" s="78">
        <f t="shared" ref="G141:G143" si="49">E141-F141</f>
        <v>-10077</v>
      </c>
      <c r="H141" s="43">
        <f t="shared" si="41"/>
        <v>0.91129947978557657</v>
      </c>
    </row>
    <row r="142" spans="1:8" ht="15.75" customHeight="1" x14ac:dyDescent="0.35">
      <c r="A142" s="7" t="s">
        <v>250</v>
      </c>
      <c r="B142" s="54" t="s">
        <v>251</v>
      </c>
      <c r="C142" s="9">
        <v>200000</v>
      </c>
      <c r="D142" s="9">
        <v>213983</v>
      </c>
      <c r="E142" s="21">
        <f t="shared" si="48"/>
        <v>413983</v>
      </c>
      <c r="F142" s="9">
        <v>225000</v>
      </c>
      <c r="G142" s="78">
        <f t="shared" si="49"/>
        <v>188983</v>
      </c>
      <c r="H142" s="43">
        <f t="shared" si="41"/>
        <v>1.8399244444444445</v>
      </c>
    </row>
    <row r="143" spans="1:8" ht="15.75" customHeight="1" x14ac:dyDescent="0.35">
      <c r="A143" s="7" t="s">
        <v>252</v>
      </c>
      <c r="B143" s="54" t="s">
        <v>253</v>
      </c>
      <c r="C143" s="9">
        <v>136361</v>
      </c>
      <c r="D143" s="9"/>
      <c r="E143" s="21">
        <f t="shared" si="48"/>
        <v>136361</v>
      </c>
      <c r="F143" s="9">
        <v>122388.11</v>
      </c>
      <c r="G143" s="78">
        <f t="shared" si="49"/>
        <v>13972.89</v>
      </c>
      <c r="H143" s="43">
        <f t="shared" si="41"/>
        <v>1.1141686884453073</v>
      </c>
    </row>
    <row r="144" spans="1:8" ht="15.75" customHeight="1" x14ac:dyDescent="0.35">
      <c r="A144" s="7" t="s">
        <v>254</v>
      </c>
      <c r="B144" s="54" t="s">
        <v>255</v>
      </c>
      <c r="C144" s="9"/>
      <c r="D144" s="9"/>
      <c r="E144" s="9"/>
      <c r="F144" s="9"/>
      <c r="G144" s="81"/>
      <c r="H144" s="43"/>
    </row>
    <row r="145" spans="1:8" ht="15.75" customHeight="1" x14ac:dyDescent="0.35">
      <c r="A145" s="7" t="s">
        <v>256</v>
      </c>
      <c r="B145" s="54" t="s">
        <v>257</v>
      </c>
      <c r="C145" s="9">
        <v>100000</v>
      </c>
      <c r="D145" s="9">
        <v>-37020</v>
      </c>
      <c r="E145" s="21">
        <f t="shared" ref="E145:E146" si="50">C145+D145</f>
        <v>62980</v>
      </c>
      <c r="F145" s="9">
        <v>129000</v>
      </c>
      <c r="G145" s="78">
        <f t="shared" ref="G145:G146" si="51">E145-F145</f>
        <v>-66020</v>
      </c>
      <c r="H145" s="43">
        <f t="shared" si="41"/>
        <v>0.48821705426356587</v>
      </c>
    </row>
    <row r="146" spans="1:8" ht="15.75" customHeight="1" x14ac:dyDescent="0.35">
      <c r="A146" s="7" t="s">
        <v>258</v>
      </c>
      <c r="B146" s="54" t="s">
        <v>259</v>
      </c>
      <c r="C146" s="9">
        <v>112838</v>
      </c>
      <c r="D146" s="9">
        <v>-12500</v>
      </c>
      <c r="E146" s="21">
        <f t="shared" si="50"/>
        <v>100338</v>
      </c>
      <c r="F146" s="9">
        <v>190446.78</v>
      </c>
      <c r="G146" s="78">
        <f t="shared" si="51"/>
        <v>-90108.78</v>
      </c>
      <c r="H146" s="43">
        <f t="shared" si="41"/>
        <v>0.52685584917739225</v>
      </c>
    </row>
    <row r="147" spans="1:8" ht="15.75" customHeight="1" x14ac:dyDescent="0.35">
      <c r="A147" s="7" t="s">
        <v>260</v>
      </c>
      <c r="B147" s="54" t="s">
        <v>261</v>
      </c>
      <c r="C147" s="9"/>
      <c r="D147" s="9"/>
      <c r="E147" s="9"/>
      <c r="F147" s="9"/>
      <c r="G147" s="81"/>
      <c r="H147" s="43"/>
    </row>
    <row r="148" spans="1:8" ht="15.75" customHeight="1" x14ac:dyDescent="0.35">
      <c r="A148" s="7" t="s">
        <v>262</v>
      </c>
      <c r="B148" s="54" t="s">
        <v>263</v>
      </c>
      <c r="C148" s="9">
        <v>13800</v>
      </c>
      <c r="D148" s="9">
        <v>-2500</v>
      </c>
      <c r="E148" s="21">
        <f t="shared" ref="E148" si="52">C148+D148</f>
        <v>11300</v>
      </c>
      <c r="F148" s="9">
        <v>10500</v>
      </c>
      <c r="G148" s="78">
        <f t="shared" ref="G148" si="53">E148-F148</f>
        <v>800</v>
      </c>
      <c r="H148" s="43">
        <f t="shared" si="41"/>
        <v>1.0761904761904761</v>
      </c>
    </row>
    <row r="149" spans="1:8" ht="15.75" customHeight="1" x14ac:dyDescent="0.35">
      <c r="A149" s="7" t="s">
        <v>264</v>
      </c>
      <c r="B149" s="54" t="s">
        <v>265</v>
      </c>
      <c r="C149" s="9"/>
      <c r="D149" s="9"/>
      <c r="E149" s="9"/>
      <c r="F149" s="9"/>
      <c r="G149" s="81"/>
      <c r="H149" s="43"/>
    </row>
    <row r="150" spans="1:8" ht="15.75" customHeight="1" x14ac:dyDescent="0.35">
      <c r="A150" s="7" t="s">
        <v>266</v>
      </c>
      <c r="B150" s="54" t="s">
        <v>267</v>
      </c>
      <c r="C150" s="9">
        <v>300000</v>
      </c>
      <c r="D150" s="9">
        <v>25988</v>
      </c>
      <c r="E150" s="21">
        <f t="shared" ref="E150:E152" si="54">C150+D150</f>
        <v>325988</v>
      </c>
      <c r="F150" s="9">
        <v>338198</v>
      </c>
      <c r="G150" s="78">
        <f t="shared" ref="G150:G152" si="55">E150-F150</f>
        <v>-12210</v>
      </c>
      <c r="H150" s="43">
        <f t="shared" si="41"/>
        <v>0.96389688880478297</v>
      </c>
    </row>
    <row r="151" spans="1:8" ht="15.75" customHeight="1" x14ac:dyDescent="0.35">
      <c r="A151" s="7" t="s">
        <v>268</v>
      </c>
      <c r="B151" s="54" t="s">
        <v>269</v>
      </c>
      <c r="C151" s="9">
        <v>7640</v>
      </c>
      <c r="D151" s="9"/>
      <c r="E151" s="21">
        <f t="shared" si="54"/>
        <v>7640</v>
      </c>
      <c r="F151" s="9">
        <v>43250</v>
      </c>
      <c r="G151" s="78">
        <f t="shared" si="55"/>
        <v>-35610</v>
      </c>
      <c r="H151" s="43">
        <f t="shared" si="41"/>
        <v>0.17664739884393063</v>
      </c>
    </row>
    <row r="152" spans="1:8" ht="15.75" customHeight="1" x14ac:dyDescent="0.35">
      <c r="A152" s="7" t="s">
        <v>270</v>
      </c>
      <c r="B152" s="54" t="s">
        <v>271</v>
      </c>
      <c r="C152" s="9">
        <v>272965</v>
      </c>
      <c r="D152" s="9">
        <v>-3900</v>
      </c>
      <c r="E152" s="21">
        <f t="shared" si="54"/>
        <v>269065</v>
      </c>
      <c r="F152" s="9">
        <v>284284</v>
      </c>
      <c r="G152" s="78">
        <f t="shared" si="55"/>
        <v>-15219</v>
      </c>
      <c r="H152" s="43">
        <f t="shared" si="41"/>
        <v>0.9464655063246612</v>
      </c>
    </row>
    <row r="153" spans="1:8" ht="15.75" customHeight="1" thickBot="1" x14ac:dyDescent="0.4">
      <c r="A153" s="34"/>
      <c r="B153" s="72" t="s">
        <v>272</v>
      </c>
      <c r="C153" s="11"/>
      <c r="D153" s="11"/>
      <c r="E153" s="11"/>
      <c r="F153" s="11"/>
      <c r="G153" s="96"/>
      <c r="H153" s="76"/>
    </row>
  </sheetData>
  <conditionalFormatting sqref="C34:E34">
    <cfRule type="cellIs" dxfId="1" priority="2" stopIfTrue="1" operator="lessThan">
      <formula>0</formula>
    </cfRule>
  </conditionalFormatting>
  <conditionalFormatting sqref="F34:H34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1D31D-E47A-4559-BFAE-D782B7782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51323-EE1E-4101-8C23-73B2098CF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2023-01-30T11:30:45Z</cp:lastPrinted>
  <dcterms:created xsi:type="dcterms:W3CDTF">2022-11-30T16:37:39Z</dcterms:created>
  <dcterms:modified xsi:type="dcterms:W3CDTF">2023-02-07T12:06:23Z</dcterms:modified>
</cp:coreProperties>
</file>